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105" yWindow="-19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3'!$B$1:$Q$142</definedName>
  </definedNames>
  <calcPr calcId="145621"/>
</workbook>
</file>

<file path=xl/calcChain.xml><?xml version="1.0" encoding="utf-8"?>
<calcChain xmlns="http://schemas.openxmlformats.org/spreadsheetml/2006/main">
  <c r="P147" i="3" l="1"/>
  <c r="P149" i="3"/>
  <c r="O145" i="3"/>
  <c r="G145" i="3" l="1"/>
  <c r="G140" i="3" l="1"/>
  <c r="G139" i="3"/>
  <c r="G15" i="3"/>
  <c r="H21" i="3"/>
  <c r="I21" i="3"/>
  <c r="I15" i="3"/>
  <c r="G36" i="3"/>
  <c r="G74" i="3"/>
  <c r="L36" i="3"/>
  <c r="L108" i="3"/>
  <c r="I39" i="3" l="1"/>
  <c r="G102" i="3"/>
  <c r="G77" i="3"/>
  <c r="G98" i="3"/>
  <c r="G99" i="3"/>
  <c r="I99" i="3"/>
  <c r="H15" i="3"/>
  <c r="G18" i="3"/>
  <c r="H18" i="3"/>
  <c r="I18" i="3"/>
  <c r="G21" i="3"/>
  <c r="H80" i="3"/>
  <c r="L144" i="3" l="1"/>
  <c r="M122" i="3" l="1"/>
  <c r="L100" i="3" l="1"/>
  <c r="N100" i="3"/>
  <c r="O100" i="3"/>
  <c r="H100" i="3"/>
  <c r="G100" i="3"/>
  <c r="I100" i="3"/>
  <c r="J100" i="3"/>
  <c r="H20" i="3"/>
  <c r="J20" i="3"/>
  <c r="L20" i="3"/>
  <c r="N20" i="3"/>
  <c r="O20" i="3"/>
  <c r="I20" i="3" l="1"/>
  <c r="L106" i="3" l="1"/>
  <c r="L15" i="3"/>
  <c r="F136" i="3" l="1"/>
  <c r="H43" i="3" l="1"/>
  <c r="L139" i="3"/>
  <c r="L99" i="3"/>
  <c r="G80" i="3"/>
  <c r="K108" i="3"/>
  <c r="Q108" i="3" s="1"/>
  <c r="P108" i="3"/>
  <c r="P100" i="3" s="1"/>
  <c r="P139" i="3" l="1"/>
  <c r="K139" i="3"/>
  <c r="G43" i="3"/>
  <c r="G79" i="3" l="1"/>
  <c r="K86" i="3" l="1"/>
  <c r="L111" i="3" l="1"/>
  <c r="G58" i="3"/>
  <c r="F110" i="3"/>
  <c r="Q110" i="3" s="1"/>
  <c r="G134" i="3" l="1"/>
  <c r="I134" i="3"/>
  <c r="G96" i="3" l="1"/>
  <c r="G59" i="3" l="1"/>
  <c r="H45" i="3" l="1"/>
  <c r="K41" i="3"/>
  <c r="P41" i="3"/>
  <c r="G109" i="3" l="1"/>
  <c r="M107" i="3"/>
  <c r="N107" i="3"/>
  <c r="O107" i="3"/>
  <c r="P107" i="3"/>
  <c r="K106" i="3"/>
  <c r="K107" i="3"/>
  <c r="Q107" i="3" s="1"/>
  <c r="G45" i="3"/>
  <c r="F43" i="3"/>
  <c r="F41" i="3"/>
  <c r="Q41" i="3" s="1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G86" i="3"/>
  <c r="G88" i="3"/>
  <c r="P106" i="3"/>
  <c r="F106" i="3"/>
  <c r="Q106" i="3" s="1"/>
  <c r="Q42" i="3" l="1"/>
  <c r="P105" i="3"/>
  <c r="G82" i="3" l="1"/>
  <c r="F105" i="3"/>
  <c r="K105" i="3"/>
  <c r="P101" i="3"/>
  <c r="O101" i="3"/>
  <c r="N101" i="3"/>
  <c r="M101" i="3"/>
  <c r="J101" i="3"/>
  <c r="I101" i="3"/>
  <c r="H101" i="3"/>
  <c r="F101" i="3"/>
  <c r="Q105" i="3" l="1"/>
  <c r="P15" i="3" l="1"/>
  <c r="P36" i="3"/>
  <c r="P86" i="3"/>
  <c r="G39" i="3" l="1"/>
  <c r="H19" i="3" l="1"/>
  <c r="G38" i="3"/>
  <c r="H38" i="3"/>
  <c r="H37" i="3" s="1"/>
  <c r="P98" i="3"/>
  <c r="P111" i="3"/>
  <c r="F26" i="3"/>
  <c r="Q26" i="3" s="1"/>
  <c r="G23" i="3"/>
  <c r="F23" i="3" s="1"/>
  <c r="Q23" i="3" s="1"/>
  <c r="M46" i="3"/>
  <c r="M41" i="3" s="1"/>
  <c r="L104" i="3" l="1"/>
  <c r="L101" i="3" s="1"/>
  <c r="G137" i="3"/>
  <c r="H137" i="3"/>
  <c r="I137" i="3"/>
  <c r="J137" i="3"/>
  <c r="L137" i="3"/>
  <c r="M137" i="3"/>
  <c r="N137" i="3"/>
  <c r="O137" i="3"/>
  <c r="P138" i="3"/>
  <c r="P137" i="3" s="1"/>
  <c r="K138" i="3"/>
  <c r="K137" i="3" s="1"/>
  <c r="P134" i="3"/>
  <c r="K134" i="3"/>
  <c r="Q138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2" i="3"/>
  <c r="K111" i="3"/>
  <c r="F111" i="3"/>
  <c r="I38" i="3"/>
  <c r="G90" i="3"/>
  <c r="G89" i="3" s="1"/>
  <c r="H90" i="3"/>
  <c r="H89" i="3" s="1"/>
  <c r="I90" i="3"/>
  <c r="I89" i="3" s="1"/>
  <c r="J90" i="3"/>
  <c r="J89" i="3" s="1"/>
  <c r="K90" i="3"/>
  <c r="K89" i="3" s="1"/>
  <c r="L90" i="3"/>
  <c r="L89" i="3" s="1"/>
  <c r="M90" i="3"/>
  <c r="M89" i="3" s="1"/>
  <c r="N90" i="3"/>
  <c r="N89" i="3" s="1"/>
  <c r="O90" i="3"/>
  <c r="O89" i="3" s="1"/>
  <c r="P90" i="3"/>
  <c r="P89" i="3" s="1"/>
  <c r="F91" i="3"/>
  <c r="Q91" i="3" s="1"/>
  <c r="K98" i="3"/>
  <c r="F112" i="3"/>
  <c r="G54" i="3"/>
  <c r="F140" i="3"/>
  <c r="Q140" i="3" s="1"/>
  <c r="F139" i="3"/>
  <c r="I19" i="3"/>
  <c r="Q139" i="3" l="1"/>
  <c r="Q137" i="3" s="1"/>
  <c r="F137" i="3"/>
  <c r="Q104" i="3"/>
  <c r="K103" i="3"/>
  <c r="Q103" i="3" s="1"/>
  <c r="F36" i="3"/>
  <c r="Q112" i="3"/>
  <c r="Q111" i="3"/>
  <c r="K35" i="3"/>
  <c r="K34" i="3" s="1"/>
  <c r="I133" i="3"/>
  <c r="I84" i="3"/>
  <c r="H17" i="3"/>
  <c r="I86" i="3"/>
  <c r="I17" i="3"/>
  <c r="F35" i="3" l="1"/>
  <c r="F34" i="3" s="1"/>
  <c r="Q36" i="3"/>
  <c r="I37" i="3"/>
  <c r="I14" i="3" l="1"/>
  <c r="J14" i="3"/>
  <c r="L14" i="3"/>
  <c r="M14" i="3"/>
  <c r="N14" i="3"/>
  <c r="O14" i="3"/>
  <c r="P14" i="3"/>
  <c r="K122" i="3"/>
  <c r="K130" i="3"/>
  <c r="M21" i="3" l="1"/>
  <c r="M18" i="3"/>
  <c r="H44" i="3"/>
  <c r="G44" i="3"/>
  <c r="F44" i="3" s="1"/>
  <c r="F45" i="3"/>
  <c r="F102" i="3"/>
  <c r="P135" i="3"/>
  <c r="O135" i="3"/>
  <c r="N135" i="3"/>
  <c r="M135" i="3"/>
  <c r="L135" i="3"/>
  <c r="K135" i="3"/>
  <c r="J135" i="3"/>
  <c r="I135" i="3"/>
  <c r="I132" i="3" s="1"/>
  <c r="H135" i="3"/>
  <c r="G135" i="3"/>
  <c r="F135" i="3"/>
  <c r="Q136" i="3"/>
  <c r="K21" i="3" l="1"/>
  <c r="K20" i="3" s="1"/>
  <c r="M20" i="3"/>
  <c r="Q135" i="3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H16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19" i="3"/>
  <c r="L19" i="3"/>
  <c r="M19" i="3"/>
  <c r="N19" i="3"/>
  <c r="O19" i="3"/>
  <c r="G22" i="3"/>
  <c r="K15" i="3"/>
  <c r="K14" i="3" s="1"/>
  <c r="H14" i="3"/>
  <c r="G14" i="3"/>
  <c r="G20" i="3" l="1"/>
  <c r="G19" i="3" s="1"/>
  <c r="M45" i="3"/>
  <c r="M44" i="3" s="1"/>
  <c r="M39" i="3" s="1"/>
  <c r="M38" i="3" s="1"/>
  <c r="M36" i="3" s="1"/>
  <c r="M35" i="3" s="1"/>
  <c r="M34" i="3" s="1"/>
  <c r="M42" i="3"/>
  <c r="M40" i="3" s="1"/>
  <c r="F78" i="3"/>
  <c r="Q78" i="3" s="1"/>
  <c r="Q69" i="3"/>
  <c r="E79" i="3"/>
  <c r="G56" i="3"/>
  <c r="Q57" i="3"/>
  <c r="M37" i="3" l="1"/>
  <c r="I131" i="3"/>
  <c r="K133" i="3"/>
  <c r="K132" i="3" s="1"/>
  <c r="F134" i="3"/>
  <c r="F133" i="3" s="1"/>
  <c r="F132" i="3" s="1"/>
  <c r="F131" i="3" s="1"/>
  <c r="P133" i="3"/>
  <c r="P132" i="3" s="1"/>
  <c r="O133" i="3"/>
  <c r="O132" i="3" s="1"/>
  <c r="N133" i="3"/>
  <c r="N132" i="3" s="1"/>
  <c r="M133" i="3"/>
  <c r="M132" i="3" s="1"/>
  <c r="L133" i="3"/>
  <c r="L132" i="3" s="1"/>
  <c r="J133" i="3"/>
  <c r="J132" i="3" s="1"/>
  <c r="H133" i="3"/>
  <c r="H132" i="3" s="1"/>
  <c r="G133" i="3"/>
  <c r="G132" i="3" s="1"/>
  <c r="Q130" i="3"/>
  <c r="Q129" i="3" s="1"/>
  <c r="P129" i="3"/>
  <c r="P128" i="3" s="1"/>
  <c r="P127" i="3" s="1"/>
  <c r="O129" i="3"/>
  <c r="O128" i="3" s="1"/>
  <c r="O127" i="3" s="1"/>
  <c r="N129" i="3"/>
  <c r="N128" i="3" s="1"/>
  <c r="N127" i="3" s="1"/>
  <c r="M129" i="3"/>
  <c r="M128" i="3" s="1"/>
  <c r="M127" i="3" s="1"/>
  <c r="L129" i="3"/>
  <c r="L128" i="3" s="1"/>
  <c r="L127" i="3" s="1"/>
  <c r="J129" i="3"/>
  <c r="J128" i="3" s="1"/>
  <c r="J127" i="3" s="1"/>
  <c r="I129" i="3"/>
  <c r="I128" i="3" s="1"/>
  <c r="I127" i="3" s="1"/>
  <c r="H129" i="3"/>
  <c r="H128" i="3" s="1"/>
  <c r="H127" i="3" s="1"/>
  <c r="G129" i="3"/>
  <c r="G128" i="3" s="1"/>
  <c r="G127" i="3" s="1"/>
  <c r="F129" i="3"/>
  <c r="F128" i="3" s="1"/>
  <c r="F127" i="3" s="1"/>
  <c r="F126" i="3"/>
  <c r="Q126" i="3" s="1"/>
  <c r="Q125" i="3" s="1"/>
  <c r="P125" i="3"/>
  <c r="O125" i="3"/>
  <c r="N125" i="3"/>
  <c r="M125" i="3"/>
  <c r="L125" i="3"/>
  <c r="K125" i="3"/>
  <c r="J125" i="3"/>
  <c r="I125" i="3"/>
  <c r="H125" i="3"/>
  <c r="G125" i="3"/>
  <c r="K113" i="3"/>
  <c r="K100" i="3" s="1"/>
  <c r="F122" i="3"/>
  <c r="F113" i="3" s="1"/>
  <c r="P113" i="3"/>
  <c r="O113" i="3"/>
  <c r="N113" i="3"/>
  <c r="M113" i="3"/>
  <c r="M100" i="3" s="1"/>
  <c r="L113" i="3"/>
  <c r="J113" i="3"/>
  <c r="I113" i="3"/>
  <c r="H113" i="3"/>
  <c r="G113" i="3"/>
  <c r="F109" i="3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5" i="3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P63" i="3"/>
  <c r="O63" i="3"/>
  <c r="N63" i="3"/>
  <c r="M63" i="3"/>
  <c r="L63" i="3"/>
  <c r="L62" i="3" s="1"/>
  <c r="K63" i="3"/>
  <c r="J63" i="3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K19" i="3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09" i="3" l="1"/>
  <c r="F100" i="3"/>
  <c r="Q100" i="3" s="1"/>
  <c r="F20" i="3"/>
  <c r="Q17" i="3"/>
  <c r="P20" i="3"/>
  <c r="P19" i="3" s="1"/>
  <c r="J62" i="3"/>
  <c r="J13" i="3" s="1"/>
  <c r="N62" i="3"/>
  <c r="N13" i="3" s="1"/>
  <c r="K62" i="3"/>
  <c r="P62" i="3"/>
  <c r="H62" i="3"/>
  <c r="H13" i="3" s="1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G13" i="3" s="1"/>
  <c r="I62" i="3"/>
  <c r="M62" i="3"/>
  <c r="M13" i="3" s="1"/>
  <c r="O62" i="3"/>
  <c r="O13" i="3" s="1"/>
  <c r="Q96" i="3"/>
  <c r="Q90" i="3" s="1"/>
  <c r="Q89" i="3" s="1"/>
  <c r="F90" i="3"/>
  <c r="F89" i="3" s="1"/>
  <c r="M131" i="3"/>
  <c r="O131" i="3"/>
  <c r="K131" i="3"/>
  <c r="I83" i="3"/>
  <c r="H83" i="3"/>
  <c r="Q86" i="3"/>
  <c r="Q85" i="3" s="1"/>
  <c r="O83" i="3"/>
  <c r="Q102" i="3"/>
  <c r="K83" i="3"/>
  <c r="G131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63" i="3"/>
  <c r="Q133" i="3"/>
  <c r="Q132" i="3" s="1"/>
  <c r="Q131" i="3" s="1"/>
  <c r="F125" i="3"/>
  <c r="Q63" i="3"/>
  <c r="Q99" i="3"/>
  <c r="Q97" i="3" s="1"/>
  <c r="Q113" i="3"/>
  <c r="Q122" i="3"/>
  <c r="H131" i="3"/>
  <c r="J131" i="3"/>
  <c r="L131" i="3"/>
  <c r="N131" i="3"/>
  <c r="P131" i="3"/>
  <c r="Q25" i="3"/>
  <c r="Q134" i="3"/>
  <c r="G52" i="3"/>
  <c r="G51" i="3" s="1"/>
  <c r="Q53" i="3"/>
  <c r="Q21" i="3"/>
  <c r="Q18" i="3"/>
  <c r="Q75" i="3"/>
  <c r="Q76" i="3"/>
  <c r="F52" i="3"/>
  <c r="F51" i="3" s="1"/>
  <c r="K129" i="3"/>
  <c r="K128" i="3" s="1"/>
  <c r="K127" i="3" s="1"/>
  <c r="H12" i="3" l="1"/>
  <c r="H141" i="3" s="1"/>
  <c r="M12" i="3"/>
  <c r="M141" i="3" s="1"/>
  <c r="I16" i="3"/>
  <c r="I13" i="3" s="1"/>
  <c r="Q20" i="3"/>
  <c r="R20" i="3" s="1"/>
  <c r="L16" i="3"/>
  <c r="L13" i="3" s="1"/>
  <c r="G12" i="3"/>
  <c r="G141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42" i="3"/>
  <c r="J40" i="3" s="1"/>
  <c r="K44" i="3"/>
  <c r="K39" i="3" s="1"/>
  <c r="P37" i="3"/>
  <c r="P16" i="3" s="1"/>
  <c r="P13" i="3" s="1"/>
  <c r="F62" i="3"/>
  <c r="Q62" i="3"/>
  <c r="Q87" i="3"/>
  <c r="Q83" i="3" s="1"/>
  <c r="F19" i="3"/>
  <c r="F16" i="3" s="1"/>
  <c r="Q52" i="3"/>
  <c r="Q51" i="3" s="1"/>
  <c r="Q128" i="3"/>
  <c r="Q127" i="3" s="1"/>
  <c r="F13" i="3" l="1"/>
  <c r="I12" i="3"/>
  <c r="I141" i="3" s="1"/>
  <c r="Q19" i="3"/>
  <c r="L12" i="3"/>
  <c r="L141" i="3" s="1"/>
  <c r="J16" i="3"/>
  <c r="J12" i="3" s="1"/>
  <c r="J141" i="3" s="1"/>
  <c r="O37" i="3"/>
  <c r="O16" i="3" s="1"/>
  <c r="O12" i="3" s="1"/>
  <c r="O141" i="3" s="1"/>
  <c r="Q44" i="3"/>
  <c r="N37" i="3"/>
  <c r="K40" i="3"/>
  <c r="Q40" i="3" s="1"/>
  <c r="P12" i="3"/>
  <c r="P141" i="3" s="1"/>
  <c r="K38" i="3"/>
  <c r="Q39" i="3"/>
  <c r="N16" i="3" l="1"/>
  <c r="N12" i="3" s="1"/>
  <c r="N141" i="3" s="1"/>
  <c r="F12" i="3"/>
  <c r="F141" i="3" s="1"/>
  <c r="K37" i="3"/>
  <c r="K16" i="3" s="1"/>
  <c r="K13" i="3" s="1"/>
  <c r="Q38" i="3"/>
  <c r="G143" i="3" l="1"/>
  <c r="F147" i="3"/>
  <c r="Q37" i="3"/>
  <c r="Q16" i="3" l="1"/>
  <c r="Q13" i="3" s="1"/>
  <c r="K12" i="3"/>
  <c r="K141" i="3" s="1"/>
  <c r="M145" i="3" s="1"/>
  <c r="Q12" i="3" l="1"/>
  <c r="R12" i="3" s="1"/>
  <c r="Q141" i="3" l="1"/>
  <c r="R141" i="3" s="1"/>
</calcChain>
</file>

<file path=xl/sharedStrings.xml><?xml version="1.0" encoding="utf-8"?>
<sst xmlns="http://schemas.openxmlformats.org/spreadsheetml/2006/main" count="412" uniqueCount="246">
  <si>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</si>
  <si>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</si>
  <si>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</si>
  <si>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</si>
  <si>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</si>
  <si>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</si>
  <si>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</si>
  <si>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</si>
  <si>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</si>
  <si>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</si>
  <si>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</si>
  <si>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</si>
  <si>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</si>
  <si>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</si>
  <si>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</si>
  <si>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</si>
  <si>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</si>
  <si>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</si>
  <si>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</si>
  <si>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</si>
  <si>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</si>
  <si>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</si>
  <si>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</si>
  <si>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</si>
  <si>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</si>
  <si>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</si>
  <si>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</si>
  <si>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</si>
  <si>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</si>
  <si>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</si>
  <si>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</si>
  <si>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</si>
  <si>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</si>
  <si>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</si>
  <si>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</si>
  <si>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</si>
  <si>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</si>
  <si>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</si>
  <si>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</si>
  <si>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</si>
  <si>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</si>
  <si>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</si>
  <si>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</si>
  <si>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</si>
  <si>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</si>
  <si>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</si>
  <si>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</si>
  <si>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</si>
  <si>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</si>
  <si>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</si>
  <si>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</si>
  <si>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</si>
  <si>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</si>
  <si>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</si>
  <si>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</si>
  <si>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</si>
  <si>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</si>
  <si>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</si>
  <si>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</si>
  <si>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</si>
  <si>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</si>
  <si>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</si>
  <si>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</si>
  <si>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</si>
  <si>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</si>
  <si>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</si>
  <si>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</si>
  <si>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</si>
  <si>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</si>
  <si>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</si>
  <si>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</si>
  <si>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</si>
  <si>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</si>
  <si>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</si>
  <si>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</si>
  <si>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</si>
  <si>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</si>
  <si>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</si>
  <si>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</si>
  <si>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</si>
  <si>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</si>
  <si>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</si>
  <si>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</si>
  <si>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</si>
  <si>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</si>
  <si>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</si>
  <si>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</si>
  <si>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</si>
  <si>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</si>
  <si>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</si>
  <si>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</si>
  <si>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</si>
  <si>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</si>
  <si>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</si>
  <si>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</si>
  <si>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</si>
  <si>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</si>
  <si>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</si>
  <si>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</si>
  <si>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</si>
  <si>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</si>
  <si>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</si>
  <si>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</si>
  <si>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</si>
  <si>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</si>
  <si>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</si>
  <si>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</si>
  <si>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</si>
  <si>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</si>
  <si>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</si>
  <si>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</si>
  <si>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</si>
  <si>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</si>
  <si>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</si>
  <si>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</si>
  <si>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</si>
  <si>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</si>
  <si>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</si>
  <si>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</si>
  <si>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</si>
  <si>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</si>
  <si>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</si>
  <si>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</si>
  <si>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</si>
  <si>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</si>
  <si>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</si>
  <si>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</si>
  <si>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</si>
  <si>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</si>
  <si>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</si>
  <si>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</si>
  <si>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</si>
  <si>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</si>
  <si>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</si>
  <si>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</si>
  <si>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</si>
  <si>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</si>
  <si>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</si>
  <si>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</si>
  <si>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</si>
  <si>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</si>
  <si>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</si>
  <si>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</si>
  <si>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</si>
  <si>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</si>
  <si>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</si>
  <si>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</si>
  <si>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</si>
  <si>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</si>
  <si>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</si>
  <si>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</si>
  <si>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</si>
  <si>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</si>
  <si>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</si>
  <si>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</si>
  <si>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</si>
  <si>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</si>
  <si>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</si>
  <si>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</si>
  <si>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</si>
  <si>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</si>
  <si>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</si>
  <si>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</si>
  <si>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</si>
  <si>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</si>
  <si>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</si>
  <si>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</si>
  <si>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</si>
  <si>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</si>
  <si>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</si>
  <si>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</si>
  <si>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</si>
  <si>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</si>
  <si>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</si>
  <si>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</si>
  <si>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</si>
  <si>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</si>
  <si>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</si>
  <si>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</si>
  <si>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</si>
  <si>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</si>
  <si>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</si>
  <si>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</si>
  <si>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</si>
  <si>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</si>
  <si>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</si>
  <si>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</si>
  <si>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</si>
  <si>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</si>
  <si>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</si>
  <si>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</si>
  <si>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</si>
  <si>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</si>
  <si>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</si>
  <si>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</si>
  <si>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</si>
  <si>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</si>
  <si>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</si>
  <si>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</si>
  <si>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</si>
  <si>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</si>
  <si>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</si>
  <si>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</si>
  <si>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</si>
  <si>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</si>
  <si>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</si>
  <si>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</si>
  <si>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</si>
  <si>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</si>
  <si>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</si>
  <si>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</si>
  <si>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</si>
  <si>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</si>
  <si>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</si>
  <si>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</si>
  <si>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</si>
  <si>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</si>
  <si>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</si>
  <si>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</si>
  <si>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</si>
  <si>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</si>
  <si>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</si>
  <si>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</si>
  <si>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</si>
  <si>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</si>
  <si>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</si>
  <si>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</si>
  <si>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</si>
  <si>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</si>
  <si>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</si>
  <si>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</si>
  <si>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</si>
  <si>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</si>
  <si>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</si>
  <si>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</si>
  <si>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</si>
  <si>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</si>
  <si>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</si>
  <si>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</si>
  <si>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</si>
  <si>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</si>
  <si>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</si>
  <si>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</si>
  <si>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</si>
  <si>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</si>
  <si>
    <t>(в редакції рішення сільської ради від 12 листопада 2021 р.№ 22-1/VІІІ)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</si>
</sst>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" fontId="21" fillId="0" borderId="0" xfId="0" applyNumberFormat="1" applyFont="1" applyFill="1"/>
    <xf numFmtId="4" fontId="20" fillId="0" borderId="0" xfId="0" applyNumberFormat="1" applyFont="1" applyFill="1"/>
    <xf numFmtId="49" fontId="2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view="pageBreakPreview" topLeftCell="B110" zoomScaleNormal="120" zoomScaleSheetLayoutView="100" workbookViewId="0">
      <selection activeCell="O142" sqref="O142"/>
    </sheetView>
  </sheetViews>
  <sheetFormatPr defaultRowHeight="15"/>
  <cols>
    <col min="1" max="1" width="8.85546875" style="2" hidden="1" customWidth="1"/>
    <col min="2" max="2" width="9.140625" style="2" customWidth="1"/>
    <col min="3" max="3" width="10" style="2" customWidth="1"/>
    <col min="4" max="4" width="10.2851562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71" t="s">
        <v>77</v>
      </c>
      <c r="M1" s="171"/>
      <c r="N1" s="171"/>
      <c r="O1" s="171"/>
      <c r="P1" s="171"/>
      <c r="Q1" s="171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71" t="s">
        <v>235</v>
      </c>
      <c r="K2" s="171"/>
      <c r="L2" s="171"/>
      <c r="M2" s="171"/>
      <c r="N2" s="171"/>
      <c r="O2" s="171"/>
      <c r="P2" s="171"/>
      <c r="Q2" s="171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72" t="s">
        <v>179</v>
      </c>
      <c r="J3" s="172"/>
      <c r="K3" s="172"/>
      <c r="L3" s="172"/>
      <c r="M3" s="172"/>
      <c r="N3" s="172"/>
      <c r="O3" s="172"/>
      <c r="P3" s="172"/>
      <c r="Q3" s="172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77" t="s">
        <v>245</v>
      </c>
      <c r="M4" s="177"/>
      <c r="N4" s="177"/>
      <c r="O4" s="177"/>
      <c r="P4" s="177"/>
      <c r="Q4" s="177"/>
    </row>
    <row r="5" spans="1:18" s="46" customFormat="1" ht="20.25" customHeight="1">
      <c r="A5" s="45"/>
      <c r="B5" s="170" t="s">
        <v>131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8" s="46" customFormat="1" ht="11.25" customHeight="1">
      <c r="A6" s="45"/>
      <c r="B6" s="173" t="s">
        <v>129</v>
      </c>
      <c r="C6" s="17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4" t="s">
        <v>130</v>
      </c>
      <c r="C7" s="17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68" t="s">
        <v>120</v>
      </c>
      <c r="C8" s="168" t="s">
        <v>121</v>
      </c>
      <c r="D8" s="168" t="s">
        <v>66</v>
      </c>
      <c r="E8" s="168" t="s">
        <v>122</v>
      </c>
      <c r="F8" s="166" t="s">
        <v>5</v>
      </c>
      <c r="G8" s="166"/>
      <c r="H8" s="166"/>
      <c r="I8" s="166"/>
      <c r="J8" s="166"/>
      <c r="K8" s="166" t="s">
        <v>2</v>
      </c>
      <c r="L8" s="166"/>
      <c r="M8" s="166"/>
      <c r="N8" s="166"/>
      <c r="O8" s="166"/>
      <c r="P8" s="166"/>
      <c r="Q8" s="166" t="s">
        <v>4</v>
      </c>
    </row>
    <row r="9" spans="1:18" s="7" customFormat="1" ht="20.25" customHeight="1">
      <c r="A9" s="6"/>
      <c r="B9" s="168"/>
      <c r="C9" s="168"/>
      <c r="D9" s="168"/>
      <c r="E9" s="168"/>
      <c r="F9" s="166" t="s">
        <v>62</v>
      </c>
      <c r="G9" s="167" t="s">
        <v>6</v>
      </c>
      <c r="H9" s="168" t="s">
        <v>7</v>
      </c>
      <c r="I9" s="168"/>
      <c r="J9" s="167" t="s">
        <v>8</v>
      </c>
      <c r="K9" s="166" t="str">
        <f>F9</f>
        <v>усього</v>
      </c>
      <c r="L9" s="167" t="s">
        <v>61</v>
      </c>
      <c r="M9" s="167" t="s">
        <v>6</v>
      </c>
      <c r="N9" s="168" t="s">
        <v>7</v>
      </c>
      <c r="O9" s="168"/>
      <c r="P9" s="167" t="s">
        <v>8</v>
      </c>
      <c r="Q9" s="166"/>
    </row>
    <row r="10" spans="1:18" s="7" customFormat="1" ht="93" customHeight="1">
      <c r="A10" s="6"/>
      <c r="B10" s="168"/>
      <c r="C10" s="168"/>
      <c r="D10" s="168"/>
      <c r="E10" s="168"/>
      <c r="F10" s="166"/>
      <c r="G10" s="167"/>
      <c r="H10" s="143" t="s">
        <v>9</v>
      </c>
      <c r="I10" s="143" t="s">
        <v>10</v>
      </c>
      <c r="J10" s="167"/>
      <c r="K10" s="166"/>
      <c r="L10" s="167"/>
      <c r="M10" s="167"/>
      <c r="N10" s="143" t="s">
        <v>9</v>
      </c>
      <c r="O10" s="143" t="s">
        <v>10</v>
      </c>
      <c r="P10" s="167"/>
      <c r="Q10" s="166"/>
    </row>
    <row r="11" spans="1:18" s="7" customFormat="1" ht="15.75" customHeight="1">
      <c r="A11" s="6"/>
      <c r="B11" s="143">
        <v>1</v>
      </c>
      <c r="C11" s="143">
        <v>2</v>
      </c>
      <c r="D11" s="143">
        <v>3</v>
      </c>
      <c r="E11" s="143">
        <v>4</v>
      </c>
      <c r="F11" s="143">
        <v>5</v>
      </c>
      <c r="G11" s="142">
        <v>6</v>
      </c>
      <c r="H11" s="143">
        <v>7</v>
      </c>
      <c r="I11" s="143">
        <v>8</v>
      </c>
      <c r="J11" s="142">
        <v>9</v>
      </c>
      <c r="K11" s="143">
        <v>10</v>
      </c>
      <c r="L11" s="142">
        <v>11</v>
      </c>
      <c r="M11" s="142">
        <v>12</v>
      </c>
      <c r="N11" s="143">
        <v>13</v>
      </c>
      <c r="O11" s="143">
        <v>14</v>
      </c>
      <c r="P11" s="142">
        <v>15</v>
      </c>
      <c r="Q11" s="143">
        <v>16</v>
      </c>
    </row>
    <row r="12" spans="1:18" s="27" customFormat="1" ht="19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69201608.180000007</v>
      </c>
      <c r="G12" s="64">
        <f t="shared" ref="G12:I12" si="0">G13</f>
        <v>69201608.180000007</v>
      </c>
      <c r="H12" s="64">
        <f t="shared" si="0"/>
        <v>45364158.480000004</v>
      </c>
      <c r="I12" s="64">
        <f t="shared" si="0"/>
        <v>3374590</v>
      </c>
      <c r="J12" s="64">
        <f t="shared" ref="J12:P12" si="1">J13</f>
        <v>0</v>
      </c>
      <c r="K12" s="64">
        <f t="shared" si="1"/>
        <v>5136560</v>
      </c>
      <c r="L12" s="64">
        <f t="shared" si="1"/>
        <v>4073560</v>
      </c>
      <c r="M12" s="64">
        <f t="shared" si="1"/>
        <v>1063000</v>
      </c>
      <c r="N12" s="64">
        <f t="shared" si="1"/>
        <v>10000</v>
      </c>
      <c r="O12" s="64">
        <f t="shared" si="1"/>
        <v>0</v>
      </c>
      <c r="P12" s="64">
        <f t="shared" si="1"/>
        <v>4073560</v>
      </c>
      <c r="Q12" s="64">
        <f>Q13</f>
        <v>74338168.180000007</v>
      </c>
      <c r="R12" s="43">
        <f>74372479.18-Q12</f>
        <v>34311</v>
      </c>
    </row>
    <row r="13" spans="1:18" s="7" customFormat="1" ht="26.25" customHeight="1">
      <c r="A13" s="6"/>
      <c r="B13" s="65" t="s">
        <v>69</v>
      </c>
      <c r="C13" s="66"/>
      <c r="D13" s="141"/>
      <c r="E13" s="67" t="s">
        <v>11</v>
      </c>
      <c r="F13" s="44">
        <f>F14+F16+F51+F62+F83+F89+F97+F123+F125+F127+F100</f>
        <v>69201608.180000007</v>
      </c>
      <c r="G13" s="44">
        <f t="shared" ref="G13:Q13" si="2">G14+G16+G51+G62+G83+G89+G97+G123+G125+G127+G100</f>
        <v>69201608.180000007</v>
      </c>
      <c r="H13" s="44">
        <f t="shared" si="2"/>
        <v>45364158.480000004</v>
      </c>
      <c r="I13" s="44">
        <f t="shared" si="2"/>
        <v>3374590</v>
      </c>
      <c r="J13" s="44">
        <f t="shared" si="2"/>
        <v>0</v>
      </c>
      <c r="K13" s="44">
        <f t="shared" si="2"/>
        <v>5136560</v>
      </c>
      <c r="L13" s="44">
        <f t="shared" si="2"/>
        <v>4073560</v>
      </c>
      <c r="M13" s="44">
        <f t="shared" si="2"/>
        <v>1063000</v>
      </c>
      <c r="N13" s="44">
        <f t="shared" si="2"/>
        <v>10000</v>
      </c>
      <c r="O13" s="44">
        <f t="shared" si="2"/>
        <v>0</v>
      </c>
      <c r="P13" s="44">
        <f t="shared" si="2"/>
        <v>4073560</v>
      </c>
      <c r="Q13" s="44">
        <f t="shared" si="2"/>
        <v>74338168.180000007</v>
      </c>
      <c r="R13" s="8"/>
    </row>
    <row r="14" spans="1:18" s="7" customFormat="1" ht="21.75" customHeight="1">
      <c r="A14" s="6"/>
      <c r="B14" s="65"/>
      <c r="C14" s="65" t="s">
        <v>80</v>
      </c>
      <c r="D14" s="141"/>
      <c r="E14" s="67" t="s">
        <v>81</v>
      </c>
      <c r="F14" s="44">
        <f>F15</f>
        <v>13125800</v>
      </c>
      <c r="G14" s="44">
        <f t="shared" ref="G14:P14" si="3">G15</f>
        <v>13125800</v>
      </c>
      <c r="H14" s="44">
        <f t="shared" si="3"/>
        <v>9763000</v>
      </c>
      <c r="I14" s="44">
        <f t="shared" si="3"/>
        <v>229840</v>
      </c>
      <c r="J14" s="44">
        <f t="shared" si="3"/>
        <v>0</v>
      </c>
      <c r="K14" s="44">
        <f t="shared" si="3"/>
        <v>680630</v>
      </c>
      <c r="L14" s="44">
        <f t="shared" si="3"/>
        <v>680630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680630</v>
      </c>
      <c r="Q14" s="44">
        <f>K14+F14</f>
        <v>13806430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13125800</v>
      </c>
      <c r="G15" s="71">
        <f>291000+12260000+454000+20000+40000+29000+40000-8200</f>
        <v>13125800</v>
      </c>
      <c r="H15" s="71">
        <f>228000+9420000+115000</f>
        <v>9763000</v>
      </c>
      <c r="I15" s="71">
        <f>198840+5000+24000+2000</f>
        <v>229840</v>
      </c>
      <c r="J15" s="39">
        <v>0</v>
      </c>
      <c r="K15" s="72">
        <f>L15</f>
        <v>680630</v>
      </c>
      <c r="L15" s="73">
        <f>30000+60000+550000+50000-4808-4192-370</f>
        <v>680630</v>
      </c>
      <c r="M15" s="39">
        <v>0</v>
      </c>
      <c r="N15" s="39">
        <v>0</v>
      </c>
      <c r="O15" s="39">
        <v>0</v>
      </c>
      <c r="P15" s="39">
        <f>L15</f>
        <v>680630</v>
      </c>
      <c r="Q15" s="74">
        <f>F15+K15</f>
        <v>13806430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>F17+F19+F24+F37+F44+F34+F46+F40</f>
        <v>45383691.180000007</v>
      </c>
      <c r="G16" s="77">
        <f t="shared" ref="G16:P16" si="4">G17+G19+G24+G37+G44+G34+G46+G40</f>
        <v>45383691.180000007</v>
      </c>
      <c r="H16" s="77">
        <f t="shared" si="4"/>
        <v>32018158.48</v>
      </c>
      <c r="I16" s="77">
        <f t="shared" si="4"/>
        <v>2207000</v>
      </c>
      <c r="J16" s="77">
        <f t="shared" si="4"/>
        <v>0</v>
      </c>
      <c r="K16" s="77">
        <f t="shared" si="4"/>
        <v>2838685</v>
      </c>
      <c r="L16" s="77">
        <f t="shared" si="4"/>
        <v>1973685</v>
      </c>
      <c r="M16" s="77">
        <f t="shared" si="4"/>
        <v>865000</v>
      </c>
      <c r="N16" s="77">
        <f t="shared" si="4"/>
        <v>0</v>
      </c>
      <c r="O16" s="77">
        <f t="shared" si="4"/>
        <v>0</v>
      </c>
      <c r="P16" s="77">
        <f t="shared" si="4"/>
        <v>1973685</v>
      </c>
      <c r="Q16" s="77">
        <f>K16+F16</f>
        <v>48222376.180000007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9869000</v>
      </c>
      <c r="G17" s="11">
        <f>G18</f>
        <v>9869000</v>
      </c>
      <c r="H17" s="11">
        <f>H18</f>
        <v>6445000</v>
      </c>
      <c r="I17" s="11">
        <f>I18</f>
        <v>728000</v>
      </c>
      <c r="J17" s="11">
        <f t="shared" ref="J17:P17" si="5">J18</f>
        <v>0</v>
      </c>
      <c r="K17" s="11">
        <f t="shared" si="5"/>
        <v>475000</v>
      </c>
      <c r="L17" s="11">
        <f t="shared" si="5"/>
        <v>0</v>
      </c>
      <c r="M17" s="11">
        <f t="shared" si="5"/>
        <v>475000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>F17+K17</f>
        <v>10344000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9869000</v>
      </c>
      <c r="G18" s="25">
        <f>8754000+773000+40000+20000+282000</f>
        <v>9869000</v>
      </c>
      <c r="H18" s="25">
        <f>5870000+160000+415000</f>
        <v>6445000</v>
      </c>
      <c r="I18" s="25">
        <f>200000+600000+93000-200000+35000</f>
        <v>728000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8" si="6">F18+K18</f>
        <v>10344000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11632261.48</v>
      </c>
      <c r="G19" s="11">
        <f t="shared" ref="G19:Q19" si="7">G20</f>
        <v>11632261.48</v>
      </c>
      <c r="H19" s="11">
        <f t="shared" si="7"/>
        <v>7003385.4800000004</v>
      </c>
      <c r="I19" s="11">
        <f t="shared" si="7"/>
        <v>1443000</v>
      </c>
      <c r="J19" s="11">
        <f t="shared" si="7"/>
        <v>0</v>
      </c>
      <c r="K19" s="11">
        <f t="shared" si="7"/>
        <v>465700</v>
      </c>
      <c r="L19" s="11">
        <f t="shared" si="7"/>
        <v>75700</v>
      </c>
      <c r="M19" s="11">
        <f t="shared" si="7"/>
        <v>390000</v>
      </c>
      <c r="N19" s="11">
        <f t="shared" si="7"/>
        <v>0</v>
      </c>
      <c r="O19" s="11">
        <f t="shared" si="7"/>
        <v>0</v>
      </c>
      <c r="P19" s="11">
        <f t="shared" si="7"/>
        <v>75700</v>
      </c>
      <c r="Q19" s="11">
        <f t="shared" si="7"/>
        <v>12097961.48</v>
      </c>
    </row>
    <row r="20" spans="1:18" s="7" customFormat="1" ht="28.5" customHeight="1">
      <c r="A20" s="6"/>
      <c r="B20" s="78" t="s">
        <v>176</v>
      </c>
      <c r="C20" s="78" t="s">
        <v>177</v>
      </c>
      <c r="D20" s="78" t="s">
        <v>22</v>
      </c>
      <c r="E20" s="79" t="s">
        <v>140</v>
      </c>
      <c r="F20" s="11">
        <f>SUM(F21:F23)</f>
        <v>11632261.48</v>
      </c>
      <c r="G20" s="11">
        <f t="shared" ref="G20:J20" si="8">SUM(G21:G23)</f>
        <v>11632261.48</v>
      </c>
      <c r="H20" s="11">
        <f>SUM(H21:H23)</f>
        <v>7003385.4800000004</v>
      </c>
      <c r="I20" s="11">
        <f t="shared" si="8"/>
        <v>1443000</v>
      </c>
      <c r="J20" s="11">
        <f t="shared" si="8"/>
        <v>0</v>
      </c>
      <c r="K20" s="11">
        <f t="shared" ref="K20" si="9">SUM(K21:K23)</f>
        <v>465700</v>
      </c>
      <c r="L20" s="11">
        <f t="shared" ref="L20" si="10">SUM(L21:L23)</f>
        <v>75700</v>
      </c>
      <c r="M20" s="11">
        <f t="shared" ref="M20:N20" si="11">SUM(M21:M23)</f>
        <v>390000</v>
      </c>
      <c r="N20" s="11">
        <f t="shared" si="11"/>
        <v>0</v>
      </c>
      <c r="O20" s="11">
        <f t="shared" ref="O20" si="12">SUM(O21:O23)</f>
        <v>0</v>
      </c>
      <c r="P20" s="11">
        <f t="shared" ref="P20:Q20" si="13">SUM(P21:P23)</f>
        <v>75700</v>
      </c>
      <c r="Q20" s="11">
        <f t="shared" si="13"/>
        <v>12097961.48</v>
      </c>
      <c r="R20" s="163">
        <f>12674961.48-Q20</f>
        <v>577000</v>
      </c>
    </row>
    <row r="21" spans="1:18" s="7" customFormat="1" ht="22.5" customHeight="1">
      <c r="A21" s="6"/>
      <c r="B21" s="143"/>
      <c r="C21" s="143"/>
      <c r="D21" s="143"/>
      <c r="E21" s="80" t="s">
        <v>19</v>
      </c>
      <c r="F21" s="5">
        <f>G21</f>
        <v>10749076</v>
      </c>
      <c r="G21" s="25">
        <f>10968200+300000+50000-36052-36072+50000+30000-577000</f>
        <v>10749076</v>
      </c>
      <c r="H21" s="25">
        <f>6734200-500000-114000</f>
        <v>6120200</v>
      </c>
      <c r="I21" s="25">
        <f>830000+400000+20000+150000+50000-100000-100000+73000+120000</f>
        <v>1443000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11214776</v>
      </c>
    </row>
    <row r="22" spans="1:18" s="20" customFormat="1" ht="63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</row>
    <row r="23" spans="1:18" s="20" customFormat="1" ht="59.25" customHeight="1">
      <c r="A23" s="19"/>
      <c r="B23" s="81"/>
      <c r="C23" s="81"/>
      <c r="D23" s="81"/>
      <c r="E23" s="82" t="s">
        <v>207</v>
      </c>
      <c r="F23" s="28">
        <f>G23</f>
        <v>7385.48</v>
      </c>
      <c r="G23" s="5">
        <f>H23</f>
        <v>7385.48</v>
      </c>
      <c r="H23" s="83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4">F23+K23</f>
        <v>7385.48</v>
      </c>
    </row>
    <row r="24" spans="1:18" s="7" customFormat="1" ht="25.5" customHeight="1">
      <c r="A24" s="6"/>
      <c r="B24" s="78" t="s">
        <v>143</v>
      </c>
      <c r="C24" s="78" t="s">
        <v>190</v>
      </c>
      <c r="D24" s="78"/>
      <c r="E24" s="79" t="s">
        <v>144</v>
      </c>
      <c r="F24" s="11">
        <f>F25</f>
        <v>21888200</v>
      </c>
      <c r="G24" s="11">
        <f t="shared" ref="G24:P24" si="15">G25</f>
        <v>21888200</v>
      </c>
      <c r="H24" s="11">
        <f t="shared" si="15"/>
        <v>17942000</v>
      </c>
      <c r="I24" s="11">
        <f>I25</f>
        <v>0</v>
      </c>
      <c r="J24" s="11">
        <f t="shared" si="15"/>
        <v>0</v>
      </c>
      <c r="K24" s="11">
        <f t="shared" si="15"/>
        <v>0</v>
      </c>
      <c r="L24" s="11">
        <f t="shared" si="15"/>
        <v>0</v>
      </c>
      <c r="M24" s="11">
        <f t="shared" si="15"/>
        <v>0</v>
      </c>
      <c r="N24" s="11">
        <f t="shared" si="15"/>
        <v>0</v>
      </c>
      <c r="O24" s="11">
        <f t="shared" si="15"/>
        <v>0</v>
      </c>
      <c r="P24" s="11">
        <f t="shared" si="15"/>
        <v>0</v>
      </c>
      <c r="Q24" s="11">
        <f t="shared" ref="Q24" si="16">F24+K24</f>
        <v>21888200</v>
      </c>
    </row>
    <row r="25" spans="1:18" s="7" customFormat="1" ht="28.5" customHeight="1">
      <c r="A25" s="6"/>
      <c r="B25" s="78" t="s">
        <v>142</v>
      </c>
      <c r="C25" s="78" t="s">
        <v>141</v>
      </c>
      <c r="D25" s="78" t="s">
        <v>22</v>
      </c>
      <c r="E25" s="79" t="s">
        <v>140</v>
      </c>
      <c r="F25" s="11">
        <f>F26</f>
        <v>21888200</v>
      </c>
      <c r="G25" s="11">
        <f>G26</f>
        <v>21888200</v>
      </c>
      <c r="H25" s="11">
        <f>H26</f>
        <v>17942000</v>
      </c>
      <c r="I25" s="11">
        <f>I26</f>
        <v>0</v>
      </c>
      <c r="J25" s="11">
        <f t="shared" ref="J25:P25" si="17">J26</f>
        <v>0</v>
      </c>
      <c r="K25" s="11">
        <f t="shared" si="17"/>
        <v>0</v>
      </c>
      <c r="L25" s="11">
        <f t="shared" si="17"/>
        <v>0</v>
      </c>
      <c r="M25" s="11">
        <f t="shared" si="17"/>
        <v>0</v>
      </c>
      <c r="N25" s="11">
        <f t="shared" si="17"/>
        <v>0</v>
      </c>
      <c r="O25" s="11">
        <f t="shared" si="17"/>
        <v>0</v>
      </c>
      <c r="P25" s="11">
        <f t="shared" si="17"/>
        <v>0</v>
      </c>
      <c r="Q25" s="11">
        <f>Q26+Q27</f>
        <v>21888200</v>
      </c>
    </row>
    <row r="26" spans="1:18" s="7" customFormat="1" ht="33" customHeight="1">
      <c r="A26" s="6"/>
      <c r="B26" s="143"/>
      <c r="C26" s="143"/>
      <c r="D26" s="143"/>
      <c r="E26" s="80" t="s">
        <v>23</v>
      </c>
      <c r="F26" s="5">
        <f>G26</f>
        <v>21888200</v>
      </c>
      <c r="G26" s="25">
        <v>21888200</v>
      </c>
      <c r="H26" s="25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</row>
    <row r="27" spans="1:18" s="7" customFormat="1" ht="0.75" customHeight="1">
      <c r="A27" s="6"/>
      <c r="B27" s="143"/>
      <c r="C27" s="143"/>
      <c r="D27" s="143"/>
      <c r="E27" s="8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s="7" customFormat="1" ht="29.25" hidden="1" customHeight="1">
      <c r="A28" s="6"/>
      <c r="B28" s="143"/>
      <c r="C28" s="143"/>
      <c r="D28" s="143"/>
      <c r="E28" s="8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s="7" customFormat="1" ht="30" hidden="1" customHeight="1">
      <c r="A29" s="6"/>
      <c r="B29" s="143"/>
      <c r="C29" s="143"/>
      <c r="D29" s="143"/>
      <c r="E29" s="8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s="7" customFormat="1" ht="19.5" customHeight="1">
      <c r="A30" s="6"/>
      <c r="B30" s="168" t="s">
        <v>64</v>
      </c>
      <c r="C30" s="168" t="s">
        <v>65</v>
      </c>
      <c r="D30" s="168" t="s">
        <v>66</v>
      </c>
      <c r="E30" s="168" t="s">
        <v>67</v>
      </c>
      <c r="F30" s="166" t="s">
        <v>5</v>
      </c>
      <c r="G30" s="166"/>
      <c r="H30" s="166"/>
      <c r="I30" s="166"/>
      <c r="J30" s="166"/>
      <c r="K30" s="166" t="s">
        <v>2</v>
      </c>
      <c r="L30" s="166"/>
      <c r="M30" s="166"/>
      <c r="N30" s="166"/>
      <c r="O30" s="166"/>
      <c r="P30" s="166"/>
      <c r="Q30" s="166" t="s">
        <v>4</v>
      </c>
    </row>
    <row r="31" spans="1:18" s="7" customFormat="1" ht="58.15" customHeight="1">
      <c r="A31" s="6"/>
      <c r="B31" s="168"/>
      <c r="C31" s="168"/>
      <c r="D31" s="168"/>
      <c r="E31" s="168"/>
      <c r="F31" s="166" t="s">
        <v>60</v>
      </c>
      <c r="G31" s="167" t="s">
        <v>6</v>
      </c>
      <c r="H31" s="168" t="s">
        <v>7</v>
      </c>
      <c r="I31" s="168"/>
      <c r="J31" s="167" t="s">
        <v>8</v>
      </c>
      <c r="K31" s="166" t="s">
        <v>60</v>
      </c>
      <c r="L31" s="167" t="s">
        <v>61</v>
      </c>
      <c r="M31" s="167" t="s">
        <v>6</v>
      </c>
      <c r="N31" s="168" t="s">
        <v>7</v>
      </c>
      <c r="O31" s="168"/>
      <c r="P31" s="167" t="s">
        <v>8</v>
      </c>
      <c r="Q31" s="166"/>
    </row>
    <row r="32" spans="1:18" s="7" customFormat="1" ht="48.75" customHeight="1">
      <c r="A32" s="6"/>
      <c r="B32" s="168"/>
      <c r="C32" s="168"/>
      <c r="D32" s="168"/>
      <c r="E32" s="168"/>
      <c r="F32" s="166"/>
      <c r="G32" s="167"/>
      <c r="H32" s="143" t="s">
        <v>9</v>
      </c>
      <c r="I32" s="143" t="s">
        <v>10</v>
      </c>
      <c r="J32" s="167"/>
      <c r="K32" s="166"/>
      <c r="L32" s="167"/>
      <c r="M32" s="167"/>
      <c r="N32" s="143" t="s">
        <v>9</v>
      </c>
      <c r="O32" s="143" t="s">
        <v>10</v>
      </c>
      <c r="P32" s="167"/>
      <c r="Q32" s="166"/>
    </row>
    <row r="33" spans="1:17" s="7" customFormat="1" ht="13.5" customHeight="1">
      <c r="A33" s="6"/>
      <c r="B33" s="143">
        <v>1</v>
      </c>
      <c r="C33" s="143">
        <v>2</v>
      </c>
      <c r="D33" s="143">
        <v>3</v>
      </c>
      <c r="E33" s="143">
        <v>4</v>
      </c>
      <c r="F33" s="141">
        <v>5</v>
      </c>
      <c r="G33" s="142">
        <v>6</v>
      </c>
      <c r="H33" s="143">
        <v>7</v>
      </c>
      <c r="I33" s="143">
        <v>8</v>
      </c>
      <c r="J33" s="142">
        <v>9</v>
      </c>
      <c r="K33" s="143">
        <v>10</v>
      </c>
      <c r="L33" s="142">
        <v>11</v>
      </c>
      <c r="M33" s="142">
        <v>12</v>
      </c>
      <c r="N33" s="143">
        <v>13</v>
      </c>
      <c r="O33" s="143">
        <v>14</v>
      </c>
      <c r="P33" s="142">
        <v>15</v>
      </c>
      <c r="Q33" s="141">
        <v>16</v>
      </c>
    </row>
    <row r="34" spans="1:17" s="23" customFormat="1" ht="93" customHeight="1">
      <c r="A34" s="21"/>
      <c r="B34" s="84" t="s">
        <v>191</v>
      </c>
      <c r="C34" s="85">
        <v>1060</v>
      </c>
      <c r="D34" s="84"/>
      <c r="E34" s="86" t="s">
        <v>192</v>
      </c>
      <c r="F34" s="87">
        <f>F35</f>
        <v>747465</v>
      </c>
      <c r="G34" s="87">
        <f t="shared" ref="G34:Q34" si="18">G35</f>
        <v>747465</v>
      </c>
      <c r="H34" s="87">
        <f t="shared" si="18"/>
        <v>0</v>
      </c>
      <c r="I34" s="87">
        <f t="shared" si="18"/>
        <v>0</v>
      </c>
      <c r="J34" s="87">
        <f t="shared" si="18"/>
        <v>0</v>
      </c>
      <c r="K34" s="87">
        <f t="shared" si="18"/>
        <v>1816627</v>
      </c>
      <c r="L34" s="87">
        <f t="shared" si="18"/>
        <v>1816627</v>
      </c>
      <c r="M34" s="87">
        <f t="shared" si="18"/>
        <v>0</v>
      </c>
      <c r="N34" s="87">
        <f t="shared" si="18"/>
        <v>0</v>
      </c>
      <c r="O34" s="87">
        <f t="shared" si="18"/>
        <v>0</v>
      </c>
      <c r="P34" s="87">
        <f t="shared" si="18"/>
        <v>1816627</v>
      </c>
      <c r="Q34" s="87">
        <f t="shared" si="18"/>
        <v>2564092</v>
      </c>
    </row>
    <row r="35" spans="1:17" s="23" customFormat="1" ht="24.75" customHeight="1">
      <c r="A35" s="21"/>
      <c r="B35" s="84" t="s">
        <v>182</v>
      </c>
      <c r="C35" s="85">
        <v>1061</v>
      </c>
      <c r="D35" s="84" t="s">
        <v>22</v>
      </c>
      <c r="E35" s="86" t="s">
        <v>140</v>
      </c>
      <c r="F35" s="87">
        <f>F36</f>
        <v>747465</v>
      </c>
      <c r="G35" s="87">
        <f t="shared" ref="G35:J35" si="19">G36</f>
        <v>747465</v>
      </c>
      <c r="H35" s="87">
        <f t="shared" si="19"/>
        <v>0</v>
      </c>
      <c r="I35" s="87">
        <f t="shared" si="19"/>
        <v>0</v>
      </c>
      <c r="J35" s="87">
        <f t="shared" si="19"/>
        <v>0</v>
      </c>
      <c r="K35" s="87">
        <f t="shared" ref="K35" si="20">K36</f>
        <v>1816627</v>
      </c>
      <c r="L35" s="87">
        <f t="shared" ref="L35" si="21">L36</f>
        <v>1816627</v>
      </c>
      <c r="M35" s="87">
        <f t="shared" ref="M35" si="22">M36</f>
        <v>0</v>
      </c>
      <c r="N35" s="87">
        <f t="shared" ref="N35" si="23">N36</f>
        <v>0</v>
      </c>
      <c r="O35" s="87">
        <f t="shared" ref="O35" si="24">O36</f>
        <v>0</v>
      </c>
      <c r="P35" s="87">
        <f t="shared" ref="P35:Q35" si="25">P36</f>
        <v>1816627</v>
      </c>
      <c r="Q35" s="88">
        <f t="shared" si="25"/>
        <v>2564092</v>
      </c>
    </row>
    <row r="36" spans="1:17" s="20" customFormat="1" ht="19.5" customHeight="1">
      <c r="A36" s="19"/>
      <c r="B36" s="84"/>
      <c r="C36" s="85"/>
      <c r="D36" s="84"/>
      <c r="E36" s="89" t="s">
        <v>187</v>
      </c>
      <c r="F36" s="5">
        <f>G35</f>
        <v>747465</v>
      </c>
      <c r="G36" s="25">
        <f>570000+158482+11590+7393</f>
        <v>747465</v>
      </c>
      <c r="H36" s="90">
        <v>0</v>
      </c>
      <c r="I36" s="90">
        <v>0</v>
      </c>
      <c r="J36" s="5">
        <v>0</v>
      </c>
      <c r="K36" s="5">
        <f>L36</f>
        <v>1816627</v>
      </c>
      <c r="L36" s="25">
        <f>976600+50000+189010+620000-11590-7393</f>
        <v>1816627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1816627</v>
      </c>
      <c r="Q36" s="11">
        <f>K36+F36</f>
        <v>2564092</v>
      </c>
    </row>
    <row r="37" spans="1:17" s="7" customFormat="1" ht="27" customHeight="1">
      <c r="A37" s="6"/>
      <c r="B37" s="78" t="s">
        <v>147</v>
      </c>
      <c r="C37" s="143">
        <v>1160</v>
      </c>
      <c r="D37" s="78" t="s">
        <v>148</v>
      </c>
      <c r="E37" s="79" t="s">
        <v>149</v>
      </c>
      <c r="F37" s="5">
        <f>G37</f>
        <v>747534</v>
      </c>
      <c r="G37" s="90">
        <f>G38+G39</f>
        <v>747534</v>
      </c>
      <c r="H37" s="90">
        <f>H38+H39</f>
        <v>473710</v>
      </c>
      <c r="I37" s="90">
        <f>I38+I39</f>
        <v>36000</v>
      </c>
      <c r="J37" s="5">
        <f t="shared" ref="J37:P37" si="26">J38</f>
        <v>0</v>
      </c>
      <c r="K37" s="5">
        <f t="shared" si="26"/>
        <v>0</v>
      </c>
      <c r="L37" s="5">
        <f t="shared" si="26"/>
        <v>0</v>
      </c>
      <c r="M37" s="5">
        <f t="shared" si="26"/>
        <v>0</v>
      </c>
      <c r="N37" s="5">
        <f t="shared" si="26"/>
        <v>0</v>
      </c>
      <c r="O37" s="5">
        <f t="shared" si="26"/>
        <v>0</v>
      </c>
      <c r="P37" s="5">
        <f t="shared" si="26"/>
        <v>0</v>
      </c>
      <c r="Q37" s="11">
        <f>K37+F37</f>
        <v>747534</v>
      </c>
    </row>
    <row r="38" spans="1:17" s="34" customFormat="1" ht="27" customHeight="1">
      <c r="A38" s="33"/>
      <c r="B38" s="91"/>
      <c r="C38" s="142"/>
      <c r="D38" s="91"/>
      <c r="E38" s="80" t="str">
        <f>E18</f>
        <v>в т.ч.  за рахунок коштів місцевого бюджету</v>
      </c>
      <c r="F38" s="5">
        <f>G38</f>
        <v>284000</v>
      </c>
      <c r="G38" s="25">
        <f>190000+108970+55030-70000</f>
        <v>284000</v>
      </c>
      <c r="H38" s="25">
        <f>144000+79760-59160</f>
        <v>164600</v>
      </c>
      <c r="I38" s="25">
        <f>2000+1000+2000+4910</f>
        <v>9910</v>
      </c>
      <c r="J38" s="5">
        <f t="shared" ref="F38:P53" si="27">J39</f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5">
        <f t="shared" ref="Q38:Q43" si="28">K38+F38</f>
        <v>284000</v>
      </c>
    </row>
    <row r="39" spans="1:17" s="34" customFormat="1" ht="27" customHeight="1">
      <c r="A39" s="33"/>
      <c r="B39" s="91"/>
      <c r="C39" s="142"/>
      <c r="D39" s="91"/>
      <c r="E39" s="80" t="s">
        <v>150</v>
      </c>
      <c r="F39" s="5">
        <f>G39</f>
        <v>463534</v>
      </c>
      <c r="G39" s="25">
        <f>304140-108970+188364+80000</f>
        <v>463534</v>
      </c>
      <c r="H39" s="25">
        <v>309110</v>
      </c>
      <c r="I39" s="25">
        <f>18000+2300+8000-4910+12200-9500</f>
        <v>26090</v>
      </c>
      <c r="J39" s="5">
        <f t="shared" ref="J39:P39" si="29">J44</f>
        <v>0</v>
      </c>
      <c r="K39" s="5">
        <f t="shared" si="29"/>
        <v>0</v>
      </c>
      <c r="L39" s="5">
        <f t="shared" si="29"/>
        <v>0</v>
      </c>
      <c r="M39" s="5">
        <f t="shared" si="29"/>
        <v>0</v>
      </c>
      <c r="N39" s="5">
        <f t="shared" si="29"/>
        <v>0</v>
      </c>
      <c r="O39" s="5">
        <f t="shared" si="29"/>
        <v>0</v>
      </c>
      <c r="P39" s="5">
        <f t="shared" si="29"/>
        <v>0</v>
      </c>
      <c r="Q39" s="5">
        <f t="shared" si="28"/>
        <v>463534</v>
      </c>
    </row>
    <row r="40" spans="1:17" s="23" customFormat="1" ht="42.75" customHeight="1">
      <c r="A40" s="21"/>
      <c r="B40" s="84" t="s">
        <v>224</v>
      </c>
      <c r="C40" s="85">
        <v>1180</v>
      </c>
      <c r="D40" s="84"/>
      <c r="E40" s="94" t="s">
        <v>227</v>
      </c>
      <c r="F40" s="22">
        <f>F41+F42</f>
        <v>250403</v>
      </c>
      <c r="G40" s="22">
        <f t="shared" ref="G40:P40" si="30">G41+G42</f>
        <v>250403</v>
      </c>
      <c r="H40" s="22">
        <f t="shared" si="30"/>
        <v>4463</v>
      </c>
      <c r="I40" s="22">
        <f t="shared" si="30"/>
        <v>0</v>
      </c>
      <c r="J40" s="22">
        <f t="shared" si="30"/>
        <v>0</v>
      </c>
      <c r="K40" s="22">
        <f t="shared" si="30"/>
        <v>81358</v>
      </c>
      <c r="L40" s="22">
        <f t="shared" si="30"/>
        <v>81358</v>
      </c>
      <c r="M40" s="22">
        <f t="shared" si="30"/>
        <v>0</v>
      </c>
      <c r="N40" s="22">
        <f t="shared" si="30"/>
        <v>0</v>
      </c>
      <c r="O40" s="22">
        <f t="shared" si="30"/>
        <v>0</v>
      </c>
      <c r="P40" s="22">
        <f t="shared" si="30"/>
        <v>81358</v>
      </c>
      <c r="Q40" s="28">
        <f>K40+F40</f>
        <v>331761</v>
      </c>
    </row>
    <row r="41" spans="1:17" s="23" customFormat="1" ht="64.5" customHeight="1">
      <c r="A41" s="21"/>
      <c r="B41" s="84" t="s">
        <v>225</v>
      </c>
      <c r="C41" s="85">
        <v>1181</v>
      </c>
      <c r="D41" s="84" t="s">
        <v>148</v>
      </c>
      <c r="E41" s="94" t="s">
        <v>228</v>
      </c>
      <c r="F41" s="22">
        <f>G41</f>
        <v>20000</v>
      </c>
      <c r="G41" s="32">
        <v>20000</v>
      </c>
      <c r="H41" s="87">
        <v>0</v>
      </c>
      <c r="I41" s="87">
        <v>0</v>
      </c>
      <c r="J41" s="28">
        <f t="shared" ref="J41:O41" si="31">J46</f>
        <v>0</v>
      </c>
      <c r="K41" s="28">
        <f>L41</f>
        <v>10000</v>
      </c>
      <c r="L41" s="83">
        <v>10000</v>
      </c>
      <c r="M41" s="28">
        <f t="shared" si="31"/>
        <v>0</v>
      </c>
      <c r="N41" s="28">
        <f t="shared" si="31"/>
        <v>0</v>
      </c>
      <c r="O41" s="28">
        <f t="shared" si="31"/>
        <v>0</v>
      </c>
      <c r="P41" s="28">
        <f>L41</f>
        <v>10000</v>
      </c>
      <c r="Q41" s="28">
        <f>K41+F41</f>
        <v>30000</v>
      </c>
    </row>
    <row r="42" spans="1:17" s="23" customFormat="1" ht="56.25" customHeight="1">
      <c r="A42" s="21"/>
      <c r="B42" s="84" t="s">
        <v>226</v>
      </c>
      <c r="C42" s="85">
        <v>1182</v>
      </c>
      <c r="D42" s="84" t="s">
        <v>148</v>
      </c>
      <c r="E42" s="94" t="s">
        <v>229</v>
      </c>
      <c r="F42" s="22">
        <f t="shared" ref="F42:F43" si="32">G42</f>
        <v>230403</v>
      </c>
      <c r="G42" s="87">
        <f>G43</f>
        <v>230403</v>
      </c>
      <c r="H42" s="87">
        <f t="shared" ref="H42:I42" si="33">H43</f>
        <v>4463</v>
      </c>
      <c r="I42" s="87">
        <f t="shared" si="33"/>
        <v>0</v>
      </c>
      <c r="J42" s="28">
        <f>J51</f>
        <v>0</v>
      </c>
      <c r="K42" s="28">
        <f>K43</f>
        <v>71358</v>
      </c>
      <c r="L42" s="28">
        <f>L43</f>
        <v>71358</v>
      </c>
      <c r="M42" s="28">
        <f t="shared" ref="M42:O43" si="34">M51</f>
        <v>0</v>
      </c>
      <c r="N42" s="28">
        <f t="shared" si="34"/>
        <v>0</v>
      </c>
      <c r="O42" s="28">
        <f t="shared" si="34"/>
        <v>0</v>
      </c>
      <c r="P42" s="28">
        <f>P43</f>
        <v>71358</v>
      </c>
      <c r="Q42" s="28">
        <f t="shared" si="28"/>
        <v>301761</v>
      </c>
    </row>
    <row r="43" spans="1:17" s="34" customFormat="1" ht="55.5" customHeight="1">
      <c r="A43" s="33"/>
      <c r="B43" s="91"/>
      <c r="C43" s="147"/>
      <c r="D43" s="91"/>
      <c r="E43" s="80" t="s">
        <v>230</v>
      </c>
      <c r="F43" s="22">
        <f t="shared" si="32"/>
        <v>230403</v>
      </c>
      <c r="G43" s="25">
        <f>152869+77534</f>
        <v>230403</v>
      </c>
      <c r="H43" s="25">
        <f>1217+3246</f>
        <v>4463</v>
      </c>
      <c r="I43" s="90">
        <v>0</v>
      </c>
      <c r="J43" s="5">
        <v>0</v>
      </c>
      <c r="K43" s="5">
        <f>L43</f>
        <v>71358</v>
      </c>
      <c r="L43" s="25">
        <v>71358</v>
      </c>
      <c r="M43" s="5">
        <f t="shared" si="34"/>
        <v>0</v>
      </c>
      <c r="N43" s="5">
        <f t="shared" si="34"/>
        <v>0</v>
      </c>
      <c r="O43" s="5">
        <f t="shared" si="34"/>
        <v>0</v>
      </c>
      <c r="P43" s="5">
        <f>L43</f>
        <v>71358</v>
      </c>
      <c r="Q43" s="5">
        <f t="shared" si="28"/>
        <v>301761</v>
      </c>
    </row>
    <row r="44" spans="1:17" s="7" customFormat="1" ht="49.5" customHeight="1">
      <c r="A44" s="6"/>
      <c r="B44" s="78" t="s">
        <v>145</v>
      </c>
      <c r="C44" s="143">
        <v>1200</v>
      </c>
      <c r="D44" s="78" t="s">
        <v>148</v>
      </c>
      <c r="E44" s="79" t="s">
        <v>146</v>
      </c>
      <c r="F44" s="11">
        <f>G44</f>
        <v>190717</v>
      </c>
      <c r="G44" s="92">
        <f t="shared" ref="G44:P44" si="35">G45</f>
        <v>190717</v>
      </c>
      <c r="H44" s="92">
        <f t="shared" si="35"/>
        <v>101970</v>
      </c>
      <c r="I44" s="11">
        <f t="shared" si="35"/>
        <v>0</v>
      </c>
      <c r="J44" s="11">
        <f t="shared" si="35"/>
        <v>0</v>
      </c>
      <c r="K44" s="11">
        <f t="shared" si="35"/>
        <v>0</v>
      </c>
      <c r="L44" s="11">
        <f t="shared" si="35"/>
        <v>0</v>
      </c>
      <c r="M44" s="11">
        <f t="shared" si="35"/>
        <v>0</v>
      </c>
      <c r="N44" s="11">
        <f t="shared" si="35"/>
        <v>0</v>
      </c>
      <c r="O44" s="11">
        <f t="shared" si="35"/>
        <v>0</v>
      </c>
      <c r="P44" s="11">
        <f t="shared" si="35"/>
        <v>0</v>
      </c>
      <c r="Q44" s="11">
        <f t="shared" si="6"/>
        <v>190717</v>
      </c>
    </row>
    <row r="45" spans="1:17" s="7" customFormat="1" ht="51.75" customHeight="1">
      <c r="A45" s="6"/>
      <c r="B45" s="143"/>
      <c r="C45" s="143"/>
      <c r="D45" s="143"/>
      <c r="E45" s="80" t="s">
        <v>175</v>
      </c>
      <c r="F45" s="5">
        <f>G45</f>
        <v>190717</v>
      </c>
      <c r="G45" s="24">
        <f>62197+128520</f>
        <v>190717</v>
      </c>
      <c r="H45" s="24">
        <f>40700+8550+52720</f>
        <v>101970</v>
      </c>
      <c r="I45" s="11">
        <f t="shared" ref="I45:P46" si="36">I51</f>
        <v>0</v>
      </c>
      <c r="J45" s="11">
        <f t="shared" si="36"/>
        <v>0</v>
      </c>
      <c r="K45" s="11">
        <f t="shared" si="36"/>
        <v>0</v>
      </c>
      <c r="L45" s="11">
        <f t="shared" si="36"/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36"/>
        <v>0</v>
      </c>
      <c r="Q45" s="11">
        <f t="shared" si="6"/>
        <v>190717</v>
      </c>
    </row>
    <row r="46" spans="1:17" s="7" customFormat="1" ht="51.75" customHeight="1">
      <c r="A46" s="6"/>
      <c r="B46" s="143" t="s">
        <v>204</v>
      </c>
      <c r="C46" s="143" t="s">
        <v>205</v>
      </c>
      <c r="D46" s="143" t="s">
        <v>148</v>
      </c>
      <c r="E46" s="79" t="s">
        <v>206</v>
      </c>
      <c r="F46" s="11">
        <v>58110.7</v>
      </c>
      <c r="G46" s="24">
        <v>58110.7</v>
      </c>
      <c r="H46" s="24">
        <v>47630</v>
      </c>
      <c r="I46" s="11">
        <f t="shared" si="36"/>
        <v>0</v>
      </c>
      <c r="J46" s="11">
        <f t="shared" si="36"/>
        <v>0</v>
      </c>
      <c r="K46" s="11">
        <f t="shared" si="36"/>
        <v>0</v>
      </c>
      <c r="L46" s="11">
        <f t="shared" si="36"/>
        <v>0</v>
      </c>
      <c r="M46" s="11">
        <f t="shared" si="36"/>
        <v>0</v>
      </c>
      <c r="N46" s="11">
        <f t="shared" si="36"/>
        <v>0</v>
      </c>
      <c r="O46" s="11">
        <f t="shared" si="36"/>
        <v>0</v>
      </c>
      <c r="P46" s="11">
        <f t="shared" si="36"/>
        <v>0</v>
      </c>
      <c r="Q46" s="11">
        <f t="shared" ref="Q46" si="37">F46+K46</f>
        <v>58110.7</v>
      </c>
    </row>
    <row r="47" spans="1:17" s="7" customFormat="1" ht="15" customHeight="1">
      <c r="A47" s="6"/>
      <c r="B47" s="168" t="s">
        <v>64</v>
      </c>
      <c r="C47" s="168" t="s">
        <v>65</v>
      </c>
      <c r="D47" s="168" t="s">
        <v>66</v>
      </c>
      <c r="E47" s="168" t="s">
        <v>67</v>
      </c>
      <c r="F47" s="166" t="s">
        <v>5</v>
      </c>
      <c r="G47" s="166"/>
      <c r="H47" s="166"/>
      <c r="I47" s="166"/>
      <c r="J47" s="166"/>
      <c r="K47" s="166" t="s">
        <v>2</v>
      </c>
      <c r="L47" s="166"/>
      <c r="M47" s="166"/>
      <c r="N47" s="166"/>
      <c r="O47" s="166"/>
      <c r="P47" s="166"/>
      <c r="Q47" s="166" t="s">
        <v>4</v>
      </c>
    </row>
    <row r="48" spans="1:17" s="7" customFormat="1" ht="58.15" customHeight="1">
      <c r="A48" s="6"/>
      <c r="B48" s="168"/>
      <c r="C48" s="168"/>
      <c r="D48" s="168"/>
      <c r="E48" s="168"/>
      <c r="F48" s="166" t="s">
        <v>60</v>
      </c>
      <c r="G48" s="167" t="s">
        <v>6</v>
      </c>
      <c r="H48" s="168" t="s">
        <v>7</v>
      </c>
      <c r="I48" s="168"/>
      <c r="J48" s="167" t="s">
        <v>8</v>
      </c>
      <c r="K48" s="166" t="s">
        <v>60</v>
      </c>
      <c r="L48" s="167" t="s">
        <v>61</v>
      </c>
      <c r="M48" s="167" t="s">
        <v>6</v>
      </c>
      <c r="N48" s="168" t="s">
        <v>7</v>
      </c>
      <c r="O48" s="168"/>
      <c r="P48" s="167" t="s">
        <v>8</v>
      </c>
      <c r="Q48" s="166"/>
    </row>
    <row r="49" spans="1:17" s="7" customFormat="1" ht="33" customHeight="1">
      <c r="A49" s="6"/>
      <c r="B49" s="168"/>
      <c r="C49" s="168"/>
      <c r="D49" s="168"/>
      <c r="E49" s="168"/>
      <c r="F49" s="166"/>
      <c r="G49" s="167"/>
      <c r="H49" s="143" t="s">
        <v>9</v>
      </c>
      <c r="I49" s="143" t="s">
        <v>10</v>
      </c>
      <c r="J49" s="167"/>
      <c r="K49" s="166"/>
      <c r="L49" s="167"/>
      <c r="M49" s="167"/>
      <c r="N49" s="143" t="s">
        <v>9</v>
      </c>
      <c r="O49" s="143" t="s">
        <v>10</v>
      </c>
      <c r="P49" s="167"/>
      <c r="Q49" s="166"/>
    </row>
    <row r="50" spans="1:17" s="7" customFormat="1" ht="13.5" customHeight="1">
      <c r="A50" s="6"/>
      <c r="B50" s="143">
        <v>1</v>
      </c>
      <c r="C50" s="143">
        <v>2</v>
      </c>
      <c r="D50" s="143">
        <v>3</v>
      </c>
      <c r="E50" s="143">
        <v>4</v>
      </c>
      <c r="F50" s="141">
        <v>5</v>
      </c>
      <c r="G50" s="142">
        <v>6</v>
      </c>
      <c r="H50" s="143">
        <v>7</v>
      </c>
      <c r="I50" s="143">
        <v>8</v>
      </c>
      <c r="J50" s="142">
        <v>9</v>
      </c>
      <c r="K50" s="141">
        <v>10</v>
      </c>
      <c r="L50" s="142">
        <v>11</v>
      </c>
      <c r="M50" s="142">
        <v>12</v>
      </c>
      <c r="N50" s="143">
        <v>13</v>
      </c>
      <c r="O50" s="143">
        <v>14</v>
      </c>
      <c r="P50" s="142">
        <v>15</v>
      </c>
      <c r="Q50" s="141">
        <v>16</v>
      </c>
    </row>
    <row r="51" spans="1:17" s="7" customFormat="1" ht="16.149999999999999" customHeight="1">
      <c r="A51" s="6"/>
      <c r="B51" s="141"/>
      <c r="C51" s="141">
        <v>2000</v>
      </c>
      <c r="D51" s="141"/>
      <c r="E51" s="93" t="s">
        <v>83</v>
      </c>
      <c r="F51" s="44">
        <f t="shared" ref="F51:Q51" si="38">F52+F56+F60</f>
        <v>1589512</v>
      </c>
      <c r="G51" s="44">
        <f t="shared" si="38"/>
        <v>1589512</v>
      </c>
      <c r="H51" s="44">
        <f t="shared" si="38"/>
        <v>0</v>
      </c>
      <c r="I51" s="44">
        <f t="shared" si="38"/>
        <v>0</v>
      </c>
      <c r="J51" s="44">
        <f t="shared" si="38"/>
        <v>0</v>
      </c>
      <c r="K51" s="44">
        <f t="shared" si="38"/>
        <v>0</v>
      </c>
      <c r="L51" s="44">
        <f t="shared" si="38"/>
        <v>0</v>
      </c>
      <c r="M51" s="44">
        <f t="shared" si="38"/>
        <v>0</v>
      </c>
      <c r="N51" s="44">
        <f t="shared" si="38"/>
        <v>0</v>
      </c>
      <c r="O51" s="44">
        <f t="shared" si="38"/>
        <v>0</v>
      </c>
      <c r="P51" s="44">
        <f t="shared" si="38"/>
        <v>0</v>
      </c>
      <c r="Q51" s="44">
        <f t="shared" si="38"/>
        <v>1589512</v>
      </c>
    </row>
    <row r="52" spans="1:17" s="7" customFormat="1" ht="16.149999999999999" customHeight="1">
      <c r="A52" s="6"/>
      <c r="B52" s="78" t="s">
        <v>86</v>
      </c>
      <c r="C52" s="143">
        <v>2110</v>
      </c>
      <c r="D52" s="143"/>
      <c r="E52" s="79" t="s">
        <v>24</v>
      </c>
      <c r="F52" s="11">
        <f t="shared" si="27"/>
        <v>913000</v>
      </c>
      <c r="G52" s="11">
        <f t="shared" si="27"/>
        <v>913000</v>
      </c>
      <c r="H52" s="11">
        <f t="shared" si="27"/>
        <v>0</v>
      </c>
      <c r="I52" s="11">
        <f t="shared" si="27"/>
        <v>0</v>
      </c>
      <c r="J52" s="11">
        <f t="shared" si="27"/>
        <v>0</v>
      </c>
      <c r="K52" s="11">
        <f t="shared" si="27"/>
        <v>0</v>
      </c>
      <c r="L52" s="11">
        <f t="shared" si="27"/>
        <v>0</v>
      </c>
      <c r="M52" s="5">
        <v>0</v>
      </c>
      <c r="N52" s="11">
        <f t="shared" si="27"/>
        <v>0</v>
      </c>
      <c r="O52" s="11">
        <f t="shared" si="27"/>
        <v>0</v>
      </c>
      <c r="P52" s="11">
        <f t="shared" si="27"/>
        <v>0</v>
      </c>
      <c r="Q52" s="11">
        <f t="shared" si="6"/>
        <v>913000</v>
      </c>
    </row>
    <row r="53" spans="1:17" s="7" customFormat="1" ht="37.5" customHeight="1">
      <c r="A53" s="6"/>
      <c r="B53" s="78" t="s">
        <v>25</v>
      </c>
      <c r="C53" s="143">
        <v>2111</v>
      </c>
      <c r="D53" s="143" t="s">
        <v>26</v>
      </c>
      <c r="E53" s="79" t="s">
        <v>27</v>
      </c>
      <c r="F53" s="11">
        <f>G53</f>
        <v>913000</v>
      </c>
      <c r="G53" s="11">
        <f>G54+G55</f>
        <v>913000</v>
      </c>
      <c r="H53" s="11">
        <f>H54</f>
        <v>0</v>
      </c>
      <c r="I53" s="11">
        <f t="shared" si="27"/>
        <v>0</v>
      </c>
      <c r="J53" s="11">
        <f t="shared" si="27"/>
        <v>0</v>
      </c>
      <c r="K53" s="11">
        <f t="shared" si="27"/>
        <v>0</v>
      </c>
      <c r="L53" s="11">
        <f t="shared" si="27"/>
        <v>0</v>
      </c>
      <c r="M53" s="11">
        <f t="shared" si="27"/>
        <v>0</v>
      </c>
      <c r="N53" s="11">
        <f t="shared" si="27"/>
        <v>0</v>
      </c>
      <c r="O53" s="11">
        <f t="shared" si="27"/>
        <v>0</v>
      </c>
      <c r="P53" s="11">
        <f t="shared" si="27"/>
        <v>0</v>
      </c>
      <c r="Q53" s="11">
        <f t="shared" si="6"/>
        <v>913000</v>
      </c>
    </row>
    <row r="54" spans="1:17" s="7" customFormat="1" ht="18" customHeight="1">
      <c r="A54" s="6"/>
      <c r="B54" s="143"/>
      <c r="C54" s="143"/>
      <c r="D54" s="143"/>
      <c r="E54" s="80" t="s">
        <v>19</v>
      </c>
      <c r="F54" s="5">
        <f>G54</f>
        <v>863000</v>
      </c>
      <c r="G54" s="25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</row>
    <row r="55" spans="1:17" s="23" customFormat="1" ht="61.5" customHeight="1">
      <c r="A55" s="21"/>
      <c r="B55" s="85"/>
      <c r="C55" s="85"/>
      <c r="D55" s="85"/>
      <c r="E55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28">
        <f>G55</f>
        <v>50000</v>
      </c>
      <c r="G55" s="83">
        <v>50000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6"/>
        <v>50000</v>
      </c>
    </row>
    <row r="56" spans="1:17" s="23" customFormat="1" ht="30.75" customHeight="1">
      <c r="A56" s="21"/>
      <c r="B56" s="84" t="s">
        <v>152</v>
      </c>
      <c r="C56" s="85"/>
      <c r="D56" s="85"/>
      <c r="E56" s="94" t="s">
        <v>153</v>
      </c>
      <c r="F56" s="28">
        <f>F57</f>
        <v>476512</v>
      </c>
      <c r="G56" s="88">
        <f>G57</f>
        <v>476512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ref="Q56" si="39">F56+K56</f>
        <v>476512</v>
      </c>
    </row>
    <row r="57" spans="1:17" s="23" customFormat="1" ht="28.5" customHeight="1">
      <c r="A57" s="21"/>
      <c r="B57" s="84" t="s">
        <v>151</v>
      </c>
      <c r="C57" s="85">
        <v>2144</v>
      </c>
      <c r="D57" s="84" t="s">
        <v>155</v>
      </c>
      <c r="E57" s="94" t="s">
        <v>154</v>
      </c>
      <c r="F57" s="28">
        <f>G57</f>
        <v>476512</v>
      </c>
      <c r="G57" s="88">
        <f>G58+G59</f>
        <v>476512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>F57+K57</f>
        <v>476512</v>
      </c>
    </row>
    <row r="58" spans="1:17" s="23" customFormat="1" ht="13.5" hidden="1" customHeight="1">
      <c r="A58" s="21"/>
      <c r="B58" s="84"/>
      <c r="C58" s="85"/>
      <c r="D58" s="85"/>
      <c r="E58" s="82" t="str">
        <f>E54</f>
        <v>в т.ч.  за рахунок коштів місцевого бюджету</v>
      </c>
      <c r="F58" s="28">
        <f>G58</f>
        <v>0</v>
      </c>
      <c r="G58" s="83">
        <f>90000-40000-50000</f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0</v>
      </c>
    </row>
    <row r="59" spans="1:17" s="23" customFormat="1" ht="53.25" customHeight="1">
      <c r="A59" s="21"/>
      <c r="B59" s="85"/>
      <c r="C59" s="85"/>
      <c r="D59" s="85"/>
      <c r="E59" s="82" t="s">
        <v>156</v>
      </c>
      <c r="F59" s="28">
        <f>G59</f>
        <v>476512</v>
      </c>
      <c r="G59" s="83">
        <f>359126+117386</f>
        <v>476512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476512</v>
      </c>
    </row>
    <row r="60" spans="1:17" s="23" customFormat="1" ht="37.5" customHeight="1">
      <c r="A60" s="21"/>
      <c r="B60" s="84" t="s">
        <v>157</v>
      </c>
      <c r="C60" s="85"/>
      <c r="D60" s="85"/>
      <c r="E60" s="94" t="s">
        <v>159</v>
      </c>
      <c r="F60" s="28">
        <f>G60</f>
        <v>200000</v>
      </c>
      <c r="G60" s="88">
        <f>G61</f>
        <v>200000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 t="shared" ref="Q60:Q61" si="40">F60+K60</f>
        <v>200000</v>
      </c>
    </row>
    <row r="61" spans="1:17" s="23" customFormat="1" ht="21" customHeight="1">
      <c r="A61" s="21"/>
      <c r="B61" s="84" t="s">
        <v>158</v>
      </c>
      <c r="C61" s="85">
        <v>2144</v>
      </c>
      <c r="D61" s="84" t="s">
        <v>155</v>
      </c>
      <c r="E61" s="94" t="s">
        <v>160</v>
      </c>
      <c r="F61" s="28">
        <f>G61</f>
        <v>200000</v>
      </c>
      <c r="G61" s="83"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si="40"/>
        <v>200000</v>
      </c>
    </row>
    <row r="62" spans="1:17" s="36" customFormat="1" ht="30" customHeight="1">
      <c r="A62" s="35"/>
      <c r="B62" s="95"/>
      <c r="C62" s="96">
        <v>3000</v>
      </c>
      <c r="D62" s="96"/>
      <c r="E62" s="93" t="s">
        <v>84</v>
      </c>
      <c r="F62" s="97">
        <f t="shared" ref="F62:Q62" si="41">F63+F75+F77+F81+F78+F67+F69+F80</f>
        <v>2836849</v>
      </c>
      <c r="G62" s="97">
        <f t="shared" si="41"/>
        <v>2836849</v>
      </c>
      <c r="H62" s="97">
        <f t="shared" si="41"/>
        <v>1640000</v>
      </c>
      <c r="I62" s="97">
        <f t="shared" si="41"/>
        <v>80000</v>
      </c>
      <c r="J62" s="97">
        <f t="shared" si="41"/>
        <v>0</v>
      </c>
      <c r="K62" s="97">
        <f t="shared" si="41"/>
        <v>3000</v>
      </c>
      <c r="L62" s="97">
        <f t="shared" si="41"/>
        <v>0</v>
      </c>
      <c r="M62" s="97">
        <f t="shared" si="41"/>
        <v>3000</v>
      </c>
      <c r="N62" s="97">
        <f t="shared" si="41"/>
        <v>0</v>
      </c>
      <c r="O62" s="97">
        <f t="shared" si="41"/>
        <v>0</v>
      </c>
      <c r="P62" s="97">
        <f t="shared" si="41"/>
        <v>0</v>
      </c>
      <c r="Q62" s="97">
        <f t="shared" si="41"/>
        <v>2839849</v>
      </c>
    </row>
    <row r="63" spans="1:17" s="7" customFormat="1" ht="51.75" customHeight="1">
      <c r="A63" s="6"/>
      <c r="B63" s="78" t="s">
        <v>87</v>
      </c>
      <c r="C63" s="78" t="s">
        <v>88</v>
      </c>
      <c r="D63" s="78"/>
      <c r="E63" s="79" t="s">
        <v>89</v>
      </c>
      <c r="F63" s="5">
        <f>F64+F66+F65</f>
        <v>220000</v>
      </c>
      <c r="G63" s="5">
        <f t="shared" ref="G63:Q63" si="42">G64+G66+G65</f>
        <v>220000</v>
      </c>
      <c r="H63" s="5">
        <f t="shared" si="42"/>
        <v>0</v>
      </c>
      <c r="I63" s="5">
        <f t="shared" si="42"/>
        <v>0</v>
      </c>
      <c r="J63" s="5">
        <f t="shared" si="42"/>
        <v>0</v>
      </c>
      <c r="K63" s="5">
        <f t="shared" si="42"/>
        <v>0</v>
      </c>
      <c r="L63" s="5">
        <f t="shared" si="42"/>
        <v>0</v>
      </c>
      <c r="M63" s="5">
        <f t="shared" si="42"/>
        <v>0</v>
      </c>
      <c r="N63" s="5">
        <f t="shared" si="42"/>
        <v>0</v>
      </c>
      <c r="O63" s="5">
        <f t="shared" si="42"/>
        <v>0</v>
      </c>
      <c r="P63" s="5">
        <f t="shared" si="42"/>
        <v>0</v>
      </c>
      <c r="Q63" s="5">
        <f t="shared" si="42"/>
        <v>220000</v>
      </c>
    </row>
    <row r="64" spans="1:17" s="7" customFormat="1" ht="23.45" customHeight="1">
      <c r="A64" s="6"/>
      <c r="B64" s="78" t="s">
        <v>90</v>
      </c>
      <c r="C64" s="78" t="s">
        <v>91</v>
      </c>
      <c r="D64" s="78" t="s">
        <v>92</v>
      </c>
      <c r="E64" s="79" t="s">
        <v>93</v>
      </c>
      <c r="F64" s="5">
        <f>G64</f>
        <v>20000</v>
      </c>
      <c r="G64" s="25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1">
        <f t="shared" si="6"/>
        <v>20000</v>
      </c>
    </row>
    <row r="65" spans="1:17" s="7" customFormat="1" ht="34.5" customHeight="1">
      <c r="A65" s="6"/>
      <c r="B65" s="78" t="s">
        <v>135</v>
      </c>
      <c r="C65" s="78" t="s">
        <v>133</v>
      </c>
      <c r="D65" s="78" t="s">
        <v>92</v>
      </c>
      <c r="E65" s="79" t="s">
        <v>134</v>
      </c>
      <c r="F65" s="5">
        <f>G65</f>
        <v>150000</v>
      </c>
      <c r="G65" s="25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6"/>
        <v>150000</v>
      </c>
    </row>
    <row r="66" spans="1:17" s="7" customFormat="1" ht="36.75" customHeight="1">
      <c r="A66" s="6"/>
      <c r="B66" s="78" t="s">
        <v>94</v>
      </c>
      <c r="C66" s="78" t="s">
        <v>95</v>
      </c>
      <c r="D66" s="78" t="s">
        <v>92</v>
      </c>
      <c r="E66" s="98" t="s">
        <v>96</v>
      </c>
      <c r="F66" s="5">
        <f>G66</f>
        <v>50000</v>
      </c>
      <c r="G66" s="25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6"/>
        <v>50000</v>
      </c>
    </row>
    <row r="67" spans="1:17" s="7" customFormat="1" ht="34.5" customHeight="1">
      <c r="A67" s="6"/>
      <c r="B67" s="78" t="s">
        <v>163</v>
      </c>
      <c r="C67" s="78" t="s">
        <v>161</v>
      </c>
      <c r="D67" s="78" t="s">
        <v>92</v>
      </c>
      <c r="E67" s="98" t="s">
        <v>164</v>
      </c>
      <c r="F67" s="5">
        <f>G67</f>
        <v>81432</v>
      </c>
      <c r="G67" s="90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ref="Q67:Q74" si="43">F67+K67</f>
        <v>81432</v>
      </c>
    </row>
    <row r="68" spans="1:17" s="7" customFormat="1" ht="27" customHeight="1">
      <c r="A68" s="6"/>
      <c r="B68" s="78"/>
      <c r="C68" s="78"/>
      <c r="D68" s="78"/>
      <c r="E68" s="99" t="str">
        <f>E39</f>
        <v>в. т.ч.  за рахунок субвенції з інших місцевих бюджетів</v>
      </c>
      <c r="F68" s="5">
        <f t="shared" ref="F68:F74" si="44">G68</f>
        <v>81432</v>
      </c>
      <c r="G68" s="25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si="43"/>
        <v>81432</v>
      </c>
    </row>
    <row r="69" spans="1:17" s="7" customFormat="1" ht="30.75" customHeight="1">
      <c r="A69" s="6"/>
      <c r="B69" s="78" t="s">
        <v>166</v>
      </c>
      <c r="C69" s="78" t="s">
        <v>162</v>
      </c>
      <c r="D69" s="78" t="s">
        <v>92</v>
      </c>
      <c r="E69" s="98" t="s">
        <v>165</v>
      </c>
      <c r="F69" s="5">
        <f t="shared" si="44"/>
        <v>2037</v>
      </c>
      <c r="G69" s="90">
        <f>G74</f>
        <v>2037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3"/>
        <v>2037</v>
      </c>
    </row>
    <row r="70" spans="1:17" s="7" customFormat="1" ht="22.5" customHeight="1">
      <c r="A70" s="6"/>
      <c r="B70" s="168" t="s">
        <v>64</v>
      </c>
      <c r="C70" s="168" t="s">
        <v>65</v>
      </c>
      <c r="D70" s="168" t="s">
        <v>66</v>
      </c>
      <c r="E70" s="168" t="s">
        <v>67</v>
      </c>
      <c r="F70" s="166" t="s">
        <v>5</v>
      </c>
      <c r="G70" s="166"/>
      <c r="H70" s="166"/>
      <c r="I70" s="166"/>
      <c r="J70" s="166"/>
      <c r="K70" s="166" t="s">
        <v>2</v>
      </c>
      <c r="L70" s="166"/>
      <c r="M70" s="166"/>
      <c r="N70" s="166"/>
      <c r="O70" s="166"/>
      <c r="P70" s="166"/>
      <c r="Q70" s="166" t="s">
        <v>4</v>
      </c>
    </row>
    <row r="71" spans="1:17" s="7" customFormat="1" ht="18" customHeight="1">
      <c r="A71" s="6"/>
      <c r="B71" s="168"/>
      <c r="C71" s="168"/>
      <c r="D71" s="168"/>
      <c r="E71" s="168"/>
      <c r="F71" s="166" t="s">
        <v>60</v>
      </c>
      <c r="G71" s="167" t="s">
        <v>6</v>
      </c>
      <c r="H71" s="168" t="s">
        <v>7</v>
      </c>
      <c r="I71" s="168"/>
      <c r="J71" s="167" t="s">
        <v>8</v>
      </c>
      <c r="K71" s="166" t="s">
        <v>60</v>
      </c>
      <c r="L71" s="167" t="s">
        <v>61</v>
      </c>
      <c r="M71" s="167" t="s">
        <v>6</v>
      </c>
      <c r="N71" s="168" t="s">
        <v>7</v>
      </c>
      <c r="O71" s="168"/>
      <c r="P71" s="167" t="s">
        <v>8</v>
      </c>
      <c r="Q71" s="166"/>
    </row>
    <row r="72" spans="1:17" s="7" customFormat="1" ht="103.5" customHeight="1">
      <c r="A72" s="6"/>
      <c r="B72" s="168"/>
      <c r="C72" s="168"/>
      <c r="D72" s="168"/>
      <c r="E72" s="168"/>
      <c r="F72" s="166"/>
      <c r="G72" s="167"/>
      <c r="H72" s="143" t="s">
        <v>9</v>
      </c>
      <c r="I72" s="143" t="s">
        <v>10</v>
      </c>
      <c r="J72" s="167"/>
      <c r="K72" s="166"/>
      <c r="L72" s="167"/>
      <c r="M72" s="167"/>
      <c r="N72" s="143" t="s">
        <v>9</v>
      </c>
      <c r="O72" s="143" t="s">
        <v>10</v>
      </c>
      <c r="P72" s="167"/>
      <c r="Q72" s="166"/>
    </row>
    <row r="73" spans="1:17" s="7" customFormat="1" ht="14.25" customHeight="1">
      <c r="A73" s="6"/>
      <c r="B73" s="143">
        <v>1</v>
      </c>
      <c r="C73" s="143">
        <v>2</v>
      </c>
      <c r="D73" s="143">
        <v>3</v>
      </c>
      <c r="E73" s="143">
        <v>4</v>
      </c>
      <c r="F73" s="141">
        <v>5</v>
      </c>
      <c r="G73" s="142">
        <v>6</v>
      </c>
      <c r="H73" s="143">
        <v>7</v>
      </c>
      <c r="I73" s="143">
        <v>8</v>
      </c>
      <c r="J73" s="142">
        <v>9</v>
      </c>
      <c r="K73" s="141">
        <v>10</v>
      </c>
      <c r="L73" s="142">
        <v>11</v>
      </c>
      <c r="M73" s="142">
        <v>12</v>
      </c>
      <c r="N73" s="143">
        <v>13</v>
      </c>
      <c r="O73" s="143">
        <v>14</v>
      </c>
      <c r="P73" s="142">
        <v>15</v>
      </c>
      <c r="Q73" s="141">
        <v>16</v>
      </c>
    </row>
    <row r="74" spans="1:17" s="7" customFormat="1" ht="27.75" customHeight="1">
      <c r="A74" s="6"/>
      <c r="B74" s="78"/>
      <c r="C74" s="78"/>
      <c r="D74" s="78"/>
      <c r="E74" s="99" t="str">
        <f>E68</f>
        <v>в. т.ч.  за рахунок субвенції з інших місцевих бюджетів</v>
      </c>
      <c r="F74" s="5">
        <f t="shared" si="44"/>
        <v>2037</v>
      </c>
      <c r="G74" s="25">
        <f>8148-6111</f>
        <v>2037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1">
        <f t="shared" si="43"/>
        <v>2037</v>
      </c>
    </row>
    <row r="75" spans="1:17" s="15" customFormat="1" ht="52.5" customHeight="1">
      <c r="A75" s="14"/>
      <c r="B75" s="100" t="s">
        <v>28</v>
      </c>
      <c r="C75" s="141" t="s">
        <v>29</v>
      </c>
      <c r="D75" s="141" t="s">
        <v>3</v>
      </c>
      <c r="E75" s="67" t="s">
        <v>30</v>
      </c>
      <c r="F75" s="44">
        <f t="shared" ref="F75:K75" si="45">F76</f>
        <v>2159000</v>
      </c>
      <c r="G75" s="44">
        <f t="shared" si="45"/>
        <v>2159000</v>
      </c>
      <c r="H75" s="44">
        <f t="shared" si="45"/>
        <v>1640000</v>
      </c>
      <c r="I75" s="44">
        <f t="shared" si="45"/>
        <v>80000</v>
      </c>
      <c r="J75" s="44">
        <f t="shared" si="45"/>
        <v>0</v>
      </c>
      <c r="K75" s="44">
        <f t="shared" si="45"/>
        <v>3000</v>
      </c>
      <c r="L75" s="44">
        <v>0</v>
      </c>
      <c r="M75" s="44">
        <f>M76</f>
        <v>3000</v>
      </c>
      <c r="N75" s="44">
        <f>N76</f>
        <v>0</v>
      </c>
      <c r="O75" s="44">
        <f>O76</f>
        <v>0</v>
      </c>
      <c r="P75" s="44">
        <f>P76</f>
        <v>0</v>
      </c>
      <c r="Q75" s="44">
        <f t="shared" si="6"/>
        <v>2162000</v>
      </c>
    </row>
    <row r="76" spans="1:17" s="7" customFormat="1" ht="51.75" customHeight="1">
      <c r="A76" s="6"/>
      <c r="B76" s="78" t="s">
        <v>31</v>
      </c>
      <c r="C76" s="143" t="s">
        <v>32</v>
      </c>
      <c r="D76" s="143" t="s">
        <v>21</v>
      </c>
      <c r="E76" s="79" t="s">
        <v>33</v>
      </c>
      <c r="F76" s="11">
        <f>G76</f>
        <v>2159000</v>
      </c>
      <c r="G76" s="24">
        <v>2159000</v>
      </c>
      <c r="H76" s="24">
        <v>1640000</v>
      </c>
      <c r="I76" s="24">
        <v>80000</v>
      </c>
      <c r="J76" s="11">
        <v>0</v>
      </c>
      <c r="K76" s="11">
        <f>M76</f>
        <v>3000</v>
      </c>
      <c r="L76" s="11">
        <v>0</v>
      </c>
      <c r="M76" s="24">
        <v>3000</v>
      </c>
      <c r="N76" s="11">
        <v>0</v>
      </c>
      <c r="O76" s="11">
        <v>0</v>
      </c>
      <c r="P76" s="11">
        <v>0</v>
      </c>
      <c r="Q76" s="11">
        <f>F76+K76</f>
        <v>2162000</v>
      </c>
    </row>
    <row r="77" spans="1:17" s="10" customFormat="1" ht="57.75" customHeight="1">
      <c r="A77" s="9"/>
      <c r="B77" s="69" t="s">
        <v>97</v>
      </c>
      <c r="C77" s="69" t="s">
        <v>98</v>
      </c>
      <c r="D77" s="69" t="s">
        <v>16</v>
      </c>
      <c r="E77" s="70" t="s">
        <v>99</v>
      </c>
      <c r="F77" s="39">
        <f>G77</f>
        <v>200000</v>
      </c>
      <c r="G77" s="71">
        <f>220000-20000</f>
        <v>200000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11">
        <f>F77+K77</f>
        <v>200000</v>
      </c>
    </row>
    <row r="78" spans="1:17" s="10" customFormat="1" ht="50.25" customHeight="1">
      <c r="A78" s="9"/>
      <c r="B78" s="101" t="s">
        <v>167</v>
      </c>
      <c r="C78" s="69">
        <v>3171</v>
      </c>
      <c r="D78" s="69">
        <v>1010</v>
      </c>
      <c r="E78" s="70" t="s">
        <v>168</v>
      </c>
      <c r="F78" s="39">
        <f>F79</f>
        <v>4380</v>
      </c>
      <c r="G78" s="102">
        <f>G79</f>
        <v>4380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 t="shared" ref="Q78:Q79" si="46">F78+K78</f>
        <v>4380</v>
      </c>
    </row>
    <row r="79" spans="1:17" s="38" customFormat="1" ht="27" customHeight="1">
      <c r="A79" s="37"/>
      <c r="B79" s="103"/>
      <c r="C79" s="103"/>
      <c r="D79" s="103"/>
      <c r="E79" s="104" t="str">
        <f>E68</f>
        <v>в. т.ч.  за рахунок субвенції з інших місцевих бюджетів</v>
      </c>
      <c r="F79" s="105">
        <f>G79</f>
        <v>4380</v>
      </c>
      <c r="G79" s="106">
        <f>1884+1338+1158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si="46"/>
        <v>4380</v>
      </c>
    </row>
    <row r="80" spans="1:17" s="23" customFormat="1" ht="12.75" hidden="1" customHeight="1">
      <c r="A80" s="21"/>
      <c r="B80" s="85" t="s">
        <v>188</v>
      </c>
      <c r="C80" s="85">
        <v>3210</v>
      </c>
      <c r="D80" s="107">
        <v>1050</v>
      </c>
      <c r="E80" s="94" t="s">
        <v>189</v>
      </c>
      <c r="F80" s="22">
        <f>G80</f>
        <v>0</v>
      </c>
      <c r="G80" s="32">
        <f>36600-36600</f>
        <v>0</v>
      </c>
      <c r="H80" s="32">
        <f>30000-30000</f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f>F80+K80</f>
        <v>0</v>
      </c>
    </row>
    <row r="81" spans="1:17" s="7" customFormat="1" ht="17.25" customHeight="1">
      <c r="A81" s="6"/>
      <c r="B81" s="78" t="s">
        <v>34</v>
      </c>
      <c r="C81" s="143">
        <v>3240</v>
      </c>
      <c r="D81" s="108"/>
      <c r="E81" s="79" t="s">
        <v>35</v>
      </c>
      <c r="F81" s="11">
        <f>F82</f>
        <v>170000</v>
      </c>
      <c r="G81" s="11">
        <f>G82</f>
        <v>170000</v>
      </c>
      <c r="H81" s="11">
        <f t="shared" ref="H81:P81" si="47">H82</f>
        <v>0</v>
      </c>
      <c r="I81" s="11">
        <f t="shared" si="47"/>
        <v>0</v>
      </c>
      <c r="J81" s="11">
        <f t="shared" si="47"/>
        <v>0</v>
      </c>
      <c r="K81" s="11">
        <f t="shared" si="47"/>
        <v>0</v>
      </c>
      <c r="L81" s="11">
        <v>0</v>
      </c>
      <c r="M81" s="11">
        <v>0</v>
      </c>
      <c r="N81" s="11">
        <f t="shared" si="47"/>
        <v>0</v>
      </c>
      <c r="O81" s="11">
        <f t="shared" si="47"/>
        <v>0</v>
      </c>
      <c r="P81" s="11">
        <f t="shared" si="47"/>
        <v>0</v>
      </c>
      <c r="Q81" s="11">
        <f t="shared" si="6"/>
        <v>170000</v>
      </c>
    </row>
    <row r="82" spans="1:17" s="7" customFormat="1" ht="25.5" customHeight="1">
      <c r="A82" s="6"/>
      <c r="B82" s="78" t="s">
        <v>36</v>
      </c>
      <c r="C82" s="143">
        <v>3242</v>
      </c>
      <c r="D82" s="143" t="s">
        <v>37</v>
      </c>
      <c r="E82" s="79" t="s">
        <v>38</v>
      </c>
      <c r="F82" s="11">
        <f>G82</f>
        <v>170000</v>
      </c>
      <c r="G82" s="24">
        <f>120000+50000</f>
        <v>170000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f>F82+K82</f>
        <v>170000</v>
      </c>
    </row>
    <row r="83" spans="1:17" s="7" customFormat="1" ht="18" customHeight="1">
      <c r="A83" s="6"/>
      <c r="B83" s="100"/>
      <c r="C83" s="141">
        <v>4000</v>
      </c>
      <c r="D83" s="141"/>
      <c r="E83" s="67" t="s">
        <v>100</v>
      </c>
      <c r="F83" s="44">
        <f t="shared" ref="F83:Q83" si="48">F84+F85+F87</f>
        <v>3060000</v>
      </c>
      <c r="G83" s="44">
        <f t="shared" si="48"/>
        <v>3060000</v>
      </c>
      <c r="H83" s="44">
        <f t="shared" si="48"/>
        <v>1930000</v>
      </c>
      <c r="I83" s="44">
        <f>I84+I85+I87</f>
        <v>408000</v>
      </c>
      <c r="J83" s="44">
        <f t="shared" si="48"/>
        <v>0</v>
      </c>
      <c r="K83" s="44">
        <f t="shared" si="48"/>
        <v>105000</v>
      </c>
      <c r="L83" s="44">
        <f t="shared" si="48"/>
        <v>20000</v>
      </c>
      <c r="M83" s="44">
        <f>M84+M85+M87</f>
        <v>85000</v>
      </c>
      <c r="N83" s="44">
        <f t="shared" si="48"/>
        <v>10000</v>
      </c>
      <c r="O83" s="44">
        <f t="shared" si="48"/>
        <v>0</v>
      </c>
      <c r="P83" s="44">
        <f t="shared" si="48"/>
        <v>20000</v>
      </c>
      <c r="Q83" s="44">
        <f t="shared" si="48"/>
        <v>3165000</v>
      </c>
    </row>
    <row r="84" spans="1:17" s="7" customFormat="1" ht="20.45" customHeight="1">
      <c r="A84" s="6"/>
      <c r="B84" s="78" t="s">
        <v>39</v>
      </c>
      <c r="C84" s="85">
        <v>4030</v>
      </c>
      <c r="D84" s="78" t="s">
        <v>40</v>
      </c>
      <c r="E84" s="79" t="s">
        <v>41</v>
      </c>
      <c r="F84" s="11">
        <f>G84</f>
        <v>365000</v>
      </c>
      <c r="G84" s="24">
        <v>365000</v>
      </c>
      <c r="H84" s="24">
        <v>240000</v>
      </c>
      <c r="I84" s="24">
        <f>45000+3000</f>
        <v>48000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f t="shared" si="6"/>
        <v>365000</v>
      </c>
    </row>
    <row r="85" spans="1:17" s="7" customFormat="1" ht="37.5" customHeight="1">
      <c r="A85" s="6"/>
      <c r="B85" s="78" t="s">
        <v>42</v>
      </c>
      <c r="C85" s="85">
        <v>4060</v>
      </c>
      <c r="D85" s="143" t="s">
        <v>43</v>
      </c>
      <c r="E85" s="79" t="s">
        <v>44</v>
      </c>
      <c r="F85" s="11">
        <f>F86</f>
        <v>2673000</v>
      </c>
      <c r="G85" s="11">
        <f t="shared" ref="G85:Q85" si="49">G86</f>
        <v>2673000</v>
      </c>
      <c r="H85" s="11">
        <f t="shared" si="49"/>
        <v>1690000</v>
      </c>
      <c r="I85" s="11">
        <f t="shared" si="49"/>
        <v>360000</v>
      </c>
      <c r="J85" s="11">
        <f t="shared" si="49"/>
        <v>0</v>
      </c>
      <c r="K85" s="11">
        <f t="shared" si="49"/>
        <v>105000</v>
      </c>
      <c r="L85" s="11">
        <f t="shared" si="49"/>
        <v>20000</v>
      </c>
      <c r="M85" s="11">
        <f t="shared" si="49"/>
        <v>85000</v>
      </c>
      <c r="N85" s="11">
        <f t="shared" si="49"/>
        <v>10000</v>
      </c>
      <c r="O85" s="11">
        <f t="shared" si="49"/>
        <v>0</v>
      </c>
      <c r="P85" s="11">
        <f t="shared" si="49"/>
        <v>20000</v>
      </c>
      <c r="Q85" s="11">
        <f t="shared" si="49"/>
        <v>2778000</v>
      </c>
    </row>
    <row r="86" spans="1:17" s="7" customFormat="1" ht="21" customHeight="1">
      <c r="A86" s="6"/>
      <c r="B86" s="143"/>
      <c r="C86" s="143"/>
      <c r="D86" s="143"/>
      <c r="E86" s="80" t="s">
        <v>19</v>
      </c>
      <c r="F86" s="11">
        <f>G86</f>
        <v>2673000</v>
      </c>
      <c r="G86" s="24">
        <f>2680000-7000</f>
        <v>2673000</v>
      </c>
      <c r="H86" s="24">
        <v>1690000</v>
      </c>
      <c r="I86" s="24">
        <f>150000+200000+10000</f>
        <v>360000</v>
      </c>
      <c r="J86" s="11">
        <v>0</v>
      </c>
      <c r="K86" s="11">
        <f>M86+L86</f>
        <v>105000</v>
      </c>
      <c r="L86" s="24">
        <v>20000</v>
      </c>
      <c r="M86" s="24">
        <v>85000</v>
      </c>
      <c r="N86" s="24">
        <v>10000</v>
      </c>
      <c r="O86" s="11">
        <v>0</v>
      </c>
      <c r="P86" s="11">
        <f>L86</f>
        <v>20000</v>
      </c>
      <c r="Q86" s="11">
        <f>F86+K86</f>
        <v>2778000</v>
      </c>
    </row>
    <row r="87" spans="1:17" s="7" customFormat="1" ht="19.5" customHeight="1">
      <c r="A87" s="6"/>
      <c r="B87" s="78" t="s">
        <v>101</v>
      </c>
      <c r="C87" s="109"/>
      <c r="D87" s="143"/>
      <c r="E87" s="79" t="s">
        <v>102</v>
      </c>
      <c r="F87" s="11">
        <f>F88</f>
        <v>22000</v>
      </c>
      <c r="G87" s="11">
        <f t="shared" ref="G87:P87" si="50">G88</f>
        <v>22000</v>
      </c>
      <c r="H87" s="11">
        <f t="shared" si="50"/>
        <v>0</v>
      </c>
      <c r="I87" s="11">
        <f t="shared" si="50"/>
        <v>0</v>
      </c>
      <c r="J87" s="11">
        <f t="shared" si="50"/>
        <v>0</v>
      </c>
      <c r="K87" s="11">
        <f t="shared" si="50"/>
        <v>0</v>
      </c>
      <c r="L87" s="11">
        <f t="shared" si="50"/>
        <v>0</v>
      </c>
      <c r="M87" s="11">
        <f t="shared" si="50"/>
        <v>0</v>
      </c>
      <c r="N87" s="11">
        <f t="shared" si="50"/>
        <v>0</v>
      </c>
      <c r="O87" s="11">
        <f t="shared" si="50"/>
        <v>0</v>
      </c>
      <c r="P87" s="11">
        <f t="shared" si="50"/>
        <v>0</v>
      </c>
      <c r="Q87" s="11">
        <f t="shared" si="6"/>
        <v>22000</v>
      </c>
    </row>
    <row r="88" spans="1:17" s="7" customFormat="1" ht="25.5" customHeight="1">
      <c r="A88" s="6"/>
      <c r="B88" s="84" t="s">
        <v>103</v>
      </c>
      <c r="C88" s="85">
        <v>4082</v>
      </c>
      <c r="D88" s="84" t="s">
        <v>104</v>
      </c>
      <c r="E88" s="94" t="s">
        <v>105</v>
      </c>
      <c r="F88" s="11">
        <f>G88</f>
        <v>22000</v>
      </c>
      <c r="G88" s="24">
        <f>15000+7000</f>
        <v>22000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f t="shared" si="6"/>
        <v>22000</v>
      </c>
    </row>
    <row r="89" spans="1:17" s="7" customFormat="1" ht="18" customHeight="1">
      <c r="A89" s="6"/>
      <c r="B89" s="110"/>
      <c r="C89" s="111">
        <v>5000</v>
      </c>
      <c r="D89" s="110"/>
      <c r="E89" s="112" t="s">
        <v>106</v>
      </c>
      <c r="F89" s="44">
        <f>F90</f>
        <v>35000</v>
      </c>
      <c r="G89" s="44">
        <f t="shared" ref="G89:Q89" si="51">G90</f>
        <v>35000</v>
      </c>
      <c r="H89" s="44">
        <f t="shared" si="51"/>
        <v>0</v>
      </c>
      <c r="I89" s="44">
        <f t="shared" si="51"/>
        <v>0</v>
      </c>
      <c r="J89" s="44">
        <f t="shared" si="51"/>
        <v>0</v>
      </c>
      <c r="K89" s="44">
        <f t="shared" si="51"/>
        <v>0</v>
      </c>
      <c r="L89" s="44">
        <f t="shared" si="51"/>
        <v>0</v>
      </c>
      <c r="M89" s="44">
        <f t="shared" si="51"/>
        <v>0</v>
      </c>
      <c r="N89" s="44">
        <f t="shared" si="51"/>
        <v>0</v>
      </c>
      <c r="O89" s="44">
        <f t="shared" si="51"/>
        <v>0</v>
      </c>
      <c r="P89" s="44">
        <f t="shared" si="51"/>
        <v>0</v>
      </c>
      <c r="Q89" s="44">
        <f t="shared" si="51"/>
        <v>35000</v>
      </c>
    </row>
    <row r="90" spans="1:17" s="7" customFormat="1" ht="23.25" customHeight="1">
      <c r="A90" s="6"/>
      <c r="B90" s="78" t="s">
        <v>63</v>
      </c>
      <c r="C90" s="143">
        <v>5060</v>
      </c>
      <c r="D90" s="143" t="s">
        <v>3</v>
      </c>
      <c r="E90" s="79" t="s">
        <v>70</v>
      </c>
      <c r="F90" s="11">
        <f>F96+F91</f>
        <v>35000</v>
      </c>
      <c r="G90" s="11">
        <f t="shared" ref="G90:Q90" si="52">G96+G91</f>
        <v>35000</v>
      </c>
      <c r="H90" s="11">
        <f t="shared" si="52"/>
        <v>0</v>
      </c>
      <c r="I90" s="11">
        <f t="shared" si="52"/>
        <v>0</v>
      </c>
      <c r="J90" s="11">
        <f t="shared" si="52"/>
        <v>0</v>
      </c>
      <c r="K90" s="11">
        <f t="shared" si="52"/>
        <v>0</v>
      </c>
      <c r="L90" s="11">
        <f t="shared" si="52"/>
        <v>0</v>
      </c>
      <c r="M90" s="11">
        <f t="shared" si="52"/>
        <v>0</v>
      </c>
      <c r="N90" s="11">
        <f t="shared" si="52"/>
        <v>0</v>
      </c>
      <c r="O90" s="11">
        <f t="shared" si="52"/>
        <v>0</v>
      </c>
      <c r="P90" s="11">
        <f t="shared" si="52"/>
        <v>0</v>
      </c>
      <c r="Q90" s="11">
        <f t="shared" si="52"/>
        <v>35000</v>
      </c>
    </row>
    <row r="91" spans="1:17" s="23" customFormat="1" ht="48" customHeight="1">
      <c r="A91" s="21"/>
      <c r="B91" s="84" t="s">
        <v>194</v>
      </c>
      <c r="C91" s="85">
        <v>5061</v>
      </c>
      <c r="D91" s="113" t="s">
        <v>45</v>
      </c>
      <c r="E91" s="94" t="s">
        <v>193</v>
      </c>
      <c r="F91" s="22">
        <f>G91</f>
        <v>15000</v>
      </c>
      <c r="G91" s="32">
        <v>15000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f>F91+K91</f>
        <v>15000</v>
      </c>
    </row>
    <row r="92" spans="1:17" s="7" customFormat="1" ht="18" customHeight="1">
      <c r="A92" s="6"/>
      <c r="B92" s="168" t="s">
        <v>64</v>
      </c>
      <c r="C92" s="168" t="s">
        <v>65</v>
      </c>
      <c r="D92" s="168" t="s">
        <v>66</v>
      </c>
      <c r="E92" s="168" t="s">
        <v>67</v>
      </c>
      <c r="F92" s="166" t="s">
        <v>5</v>
      </c>
      <c r="G92" s="166"/>
      <c r="H92" s="166"/>
      <c r="I92" s="166"/>
      <c r="J92" s="166"/>
      <c r="K92" s="166" t="s">
        <v>2</v>
      </c>
      <c r="L92" s="166"/>
      <c r="M92" s="166"/>
      <c r="N92" s="166"/>
      <c r="O92" s="166"/>
      <c r="P92" s="166"/>
      <c r="Q92" s="166" t="s">
        <v>4</v>
      </c>
    </row>
    <row r="93" spans="1:17" s="7" customFormat="1" ht="26.25" customHeight="1">
      <c r="A93" s="6"/>
      <c r="B93" s="168"/>
      <c r="C93" s="168"/>
      <c r="D93" s="168"/>
      <c r="E93" s="168"/>
      <c r="F93" s="166" t="s">
        <v>60</v>
      </c>
      <c r="G93" s="167" t="s">
        <v>6</v>
      </c>
      <c r="H93" s="168" t="s">
        <v>7</v>
      </c>
      <c r="I93" s="168"/>
      <c r="J93" s="167" t="s">
        <v>8</v>
      </c>
      <c r="K93" s="166" t="s">
        <v>60</v>
      </c>
      <c r="L93" s="167" t="s">
        <v>61</v>
      </c>
      <c r="M93" s="167" t="s">
        <v>6</v>
      </c>
      <c r="N93" s="168" t="s">
        <v>7</v>
      </c>
      <c r="O93" s="168"/>
      <c r="P93" s="167" t="s">
        <v>8</v>
      </c>
      <c r="Q93" s="166"/>
    </row>
    <row r="94" spans="1:17" s="7" customFormat="1" ht="42.75" customHeight="1">
      <c r="A94" s="6"/>
      <c r="B94" s="168"/>
      <c r="C94" s="168"/>
      <c r="D94" s="168"/>
      <c r="E94" s="168"/>
      <c r="F94" s="166"/>
      <c r="G94" s="167"/>
      <c r="H94" s="143" t="s">
        <v>9</v>
      </c>
      <c r="I94" s="143" t="s">
        <v>10</v>
      </c>
      <c r="J94" s="167"/>
      <c r="K94" s="166"/>
      <c r="L94" s="167"/>
      <c r="M94" s="167"/>
      <c r="N94" s="143" t="s">
        <v>9</v>
      </c>
      <c r="O94" s="143" t="s">
        <v>10</v>
      </c>
      <c r="P94" s="167"/>
      <c r="Q94" s="166"/>
    </row>
    <row r="95" spans="1:17" s="7" customFormat="1" ht="15.6" customHeight="1">
      <c r="A95" s="6"/>
      <c r="B95" s="143">
        <v>1</v>
      </c>
      <c r="C95" s="143">
        <v>2</v>
      </c>
      <c r="D95" s="143">
        <v>3</v>
      </c>
      <c r="E95" s="143">
        <v>4</v>
      </c>
      <c r="F95" s="141">
        <v>5</v>
      </c>
      <c r="G95" s="142">
        <v>6</v>
      </c>
      <c r="H95" s="143">
        <v>7</v>
      </c>
      <c r="I95" s="143">
        <v>8</v>
      </c>
      <c r="J95" s="142">
        <v>9</v>
      </c>
      <c r="K95" s="141">
        <v>10</v>
      </c>
      <c r="L95" s="142">
        <v>11</v>
      </c>
      <c r="M95" s="142">
        <v>12</v>
      </c>
      <c r="N95" s="143">
        <v>13</v>
      </c>
      <c r="O95" s="143">
        <v>14</v>
      </c>
      <c r="P95" s="142">
        <v>15</v>
      </c>
      <c r="Q95" s="141">
        <v>16</v>
      </c>
    </row>
    <row r="96" spans="1:17" s="7" customFormat="1" ht="34.5" customHeight="1">
      <c r="A96" s="6"/>
      <c r="B96" s="78" t="s">
        <v>72</v>
      </c>
      <c r="C96" s="143">
        <v>5062</v>
      </c>
      <c r="D96" s="114" t="s">
        <v>45</v>
      </c>
      <c r="E96" s="79" t="s">
        <v>71</v>
      </c>
      <c r="F96" s="11">
        <f>G96</f>
        <v>20000</v>
      </c>
      <c r="G96" s="24">
        <f>30000-10000</f>
        <v>20000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f>F96+K96</f>
        <v>20000</v>
      </c>
    </row>
    <row r="97" spans="1:18" s="7" customFormat="1" ht="27" customHeight="1">
      <c r="A97" s="6"/>
      <c r="B97" s="100"/>
      <c r="C97" s="141">
        <v>6000</v>
      </c>
      <c r="D97" s="65"/>
      <c r="E97" s="67" t="s">
        <v>107</v>
      </c>
      <c r="F97" s="44">
        <f>F98+F99</f>
        <v>2616756</v>
      </c>
      <c r="G97" s="44">
        <f t="shared" ref="G97:Q97" si="53">G98+G99</f>
        <v>2616756</v>
      </c>
      <c r="H97" s="44">
        <f t="shared" si="53"/>
        <v>13000</v>
      </c>
      <c r="I97" s="44">
        <f t="shared" si="53"/>
        <v>429750</v>
      </c>
      <c r="J97" s="44">
        <f t="shared" si="53"/>
        <v>0</v>
      </c>
      <c r="K97" s="44">
        <f t="shared" si="53"/>
        <v>648900</v>
      </c>
      <c r="L97" s="44">
        <f t="shared" si="53"/>
        <v>648900</v>
      </c>
      <c r="M97" s="44">
        <f t="shared" si="53"/>
        <v>0</v>
      </c>
      <c r="N97" s="44">
        <f t="shared" si="53"/>
        <v>0</v>
      </c>
      <c r="O97" s="44">
        <f t="shared" si="53"/>
        <v>0</v>
      </c>
      <c r="P97" s="44">
        <f t="shared" si="53"/>
        <v>648900</v>
      </c>
      <c r="Q97" s="44">
        <f t="shared" si="53"/>
        <v>3265656</v>
      </c>
    </row>
    <row r="98" spans="1:18" s="7" customFormat="1" ht="25.5" customHeight="1">
      <c r="A98" s="6"/>
      <c r="B98" s="78" t="s">
        <v>108</v>
      </c>
      <c r="C98" s="78" t="s">
        <v>109</v>
      </c>
      <c r="D98" s="114" t="s">
        <v>46</v>
      </c>
      <c r="E98" s="79" t="s">
        <v>110</v>
      </c>
      <c r="F98" s="11">
        <f>G98</f>
        <v>1667590</v>
      </c>
      <c r="G98" s="24">
        <f>500000+626740+10000+20000+90000+28000+38000+112000+36600+206250</f>
        <v>1667590</v>
      </c>
      <c r="H98" s="11">
        <v>0</v>
      </c>
      <c r="I98" s="11">
        <v>0</v>
      </c>
      <c r="J98" s="11">
        <v>0</v>
      </c>
      <c r="K98" s="11">
        <f>L98</f>
        <v>0</v>
      </c>
      <c r="L98" s="11">
        <v>0</v>
      </c>
      <c r="M98" s="11">
        <v>0</v>
      </c>
      <c r="N98" s="11">
        <v>0</v>
      </c>
      <c r="O98" s="11">
        <v>0</v>
      </c>
      <c r="P98" s="11">
        <f>L98</f>
        <v>0</v>
      </c>
      <c r="Q98" s="11">
        <f>F98+K98</f>
        <v>1667590</v>
      </c>
    </row>
    <row r="99" spans="1:18" s="7" customFormat="1" ht="25.5" customHeight="1">
      <c r="A99" s="6"/>
      <c r="B99" s="78" t="s">
        <v>47</v>
      </c>
      <c r="C99" s="78" t="s">
        <v>73</v>
      </c>
      <c r="D99" s="78" t="s">
        <v>46</v>
      </c>
      <c r="E99" s="79" t="s">
        <v>48</v>
      </c>
      <c r="F99" s="11">
        <f>G99</f>
        <v>949166</v>
      </c>
      <c r="G99" s="24">
        <f>1174416-180000-60000-15000-50000+79750</f>
        <v>949166</v>
      </c>
      <c r="H99" s="24">
        <v>13000</v>
      </c>
      <c r="I99" s="24">
        <f>400000-50000+79750</f>
        <v>429750</v>
      </c>
      <c r="J99" s="11">
        <v>0</v>
      </c>
      <c r="K99" s="11">
        <f>L99</f>
        <v>648900</v>
      </c>
      <c r="L99" s="24">
        <f>50000+650000-1100-50000</f>
        <v>648900</v>
      </c>
      <c r="M99" s="11">
        <v>0</v>
      </c>
      <c r="N99" s="11">
        <v>0</v>
      </c>
      <c r="O99" s="11">
        <v>0</v>
      </c>
      <c r="P99" s="11">
        <f>L99</f>
        <v>648900</v>
      </c>
      <c r="Q99" s="11">
        <f>F99+K99</f>
        <v>1598066</v>
      </c>
    </row>
    <row r="100" spans="1:18" s="15" customFormat="1" ht="25.5" customHeight="1">
      <c r="A100" s="14"/>
      <c r="B100" s="100"/>
      <c r="C100" s="100" t="s">
        <v>243</v>
      </c>
      <c r="D100" s="100"/>
      <c r="E100" s="67" t="s">
        <v>244</v>
      </c>
      <c r="F100" s="44">
        <f>SUM(F101:F113)</f>
        <v>524000</v>
      </c>
      <c r="G100" s="44">
        <f t="shared" ref="G100:J100" si="54">SUM(G101:G113)</f>
        <v>524000</v>
      </c>
      <c r="H100" s="44">
        <f t="shared" si="54"/>
        <v>0</v>
      </c>
      <c r="I100" s="44">
        <f t="shared" si="54"/>
        <v>0</v>
      </c>
      <c r="J100" s="44">
        <f t="shared" si="54"/>
        <v>0</v>
      </c>
      <c r="K100" s="44">
        <f>K101+K102+K105+K106+K108+K109+K110+K111+K113</f>
        <v>845345</v>
      </c>
      <c r="L100" s="44">
        <f t="shared" ref="L100:P100" si="55">L101+L102+L105+L106+L108+L109+L110+L111+L113</f>
        <v>750345</v>
      </c>
      <c r="M100" s="44">
        <f t="shared" si="55"/>
        <v>95000</v>
      </c>
      <c r="N100" s="44">
        <f t="shared" si="55"/>
        <v>0</v>
      </c>
      <c r="O100" s="44">
        <f t="shared" si="55"/>
        <v>0</v>
      </c>
      <c r="P100" s="44">
        <f t="shared" si="55"/>
        <v>750345</v>
      </c>
      <c r="Q100" s="44">
        <f>K100+F100</f>
        <v>1369345</v>
      </c>
    </row>
    <row r="101" spans="1:18" s="23" customFormat="1" ht="25.5" customHeight="1">
      <c r="A101" s="21"/>
      <c r="B101" s="84" t="s">
        <v>213</v>
      </c>
      <c r="C101" s="84" t="s">
        <v>214</v>
      </c>
      <c r="D101" s="84" t="s">
        <v>171</v>
      </c>
      <c r="E101" s="94" t="s">
        <v>215</v>
      </c>
      <c r="F101" s="22">
        <f>G101</f>
        <v>30000</v>
      </c>
      <c r="G101" s="32">
        <v>30000</v>
      </c>
      <c r="H101" s="87">
        <f t="shared" ref="H101" si="56">H104</f>
        <v>0</v>
      </c>
      <c r="I101" s="87">
        <f t="shared" ref="I101" si="57">I104</f>
        <v>0</v>
      </c>
      <c r="J101" s="87">
        <f t="shared" ref="J101" si="58">J104</f>
        <v>0</v>
      </c>
      <c r="K101" s="87">
        <f t="shared" ref="K101" si="59">K104</f>
        <v>0</v>
      </c>
      <c r="L101" s="87">
        <f t="shared" ref="L101" si="60">L104</f>
        <v>0</v>
      </c>
      <c r="M101" s="87">
        <f t="shared" ref="M101" si="61">M104</f>
        <v>0</v>
      </c>
      <c r="N101" s="87">
        <f t="shared" ref="N101" si="62">N104</f>
        <v>0</v>
      </c>
      <c r="O101" s="87">
        <f t="shared" ref="O101" si="63">O104</f>
        <v>0</v>
      </c>
      <c r="P101" s="87">
        <f t="shared" ref="P101" si="64">P104</f>
        <v>0</v>
      </c>
      <c r="Q101" s="87">
        <f>F101+K101</f>
        <v>30000</v>
      </c>
    </row>
    <row r="102" spans="1:18" s="7" customFormat="1" ht="25.5" customHeight="1">
      <c r="A102" s="6"/>
      <c r="B102" s="78" t="s">
        <v>170</v>
      </c>
      <c r="C102" s="78" t="s">
        <v>169</v>
      </c>
      <c r="D102" s="78" t="s">
        <v>171</v>
      </c>
      <c r="E102" s="79" t="s">
        <v>172</v>
      </c>
      <c r="F102" s="11">
        <f>G102</f>
        <v>100000</v>
      </c>
      <c r="G102" s="24">
        <f>10000+150000-40000-20000</f>
        <v>100000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92">
        <f>F102+K102</f>
        <v>100000</v>
      </c>
      <c r="R102" s="7" t="s">
        <v>173</v>
      </c>
    </row>
    <row r="103" spans="1:18" s="31" customFormat="1" ht="25.5" hidden="1" customHeight="1">
      <c r="A103" s="29"/>
      <c r="B103" s="110"/>
      <c r="C103" s="110" t="s">
        <v>186</v>
      </c>
      <c r="D103" s="110"/>
      <c r="E103" s="112" t="s">
        <v>195</v>
      </c>
      <c r="F103" s="30">
        <f>F104</f>
        <v>0</v>
      </c>
      <c r="G103" s="30">
        <f t="shared" ref="G103:P103" si="65">G104</f>
        <v>0</v>
      </c>
      <c r="H103" s="30">
        <f t="shared" si="65"/>
        <v>0</v>
      </c>
      <c r="I103" s="30">
        <f t="shared" si="65"/>
        <v>0</v>
      </c>
      <c r="J103" s="30">
        <f t="shared" si="65"/>
        <v>0</v>
      </c>
      <c r="K103" s="30">
        <f t="shared" si="65"/>
        <v>0</v>
      </c>
      <c r="L103" s="30">
        <f t="shared" si="65"/>
        <v>0</v>
      </c>
      <c r="M103" s="30">
        <f t="shared" si="65"/>
        <v>0</v>
      </c>
      <c r="N103" s="30">
        <f t="shared" si="65"/>
        <v>0</v>
      </c>
      <c r="O103" s="30">
        <f t="shared" si="65"/>
        <v>0</v>
      </c>
      <c r="P103" s="30">
        <f t="shared" si="65"/>
        <v>0</v>
      </c>
      <c r="Q103" s="115">
        <f t="shared" ref="Q103:Q104" si="66">F103+K103</f>
        <v>0</v>
      </c>
    </row>
    <row r="104" spans="1:18" s="23" customFormat="1" ht="36" hidden="1" customHeight="1">
      <c r="A104" s="21"/>
      <c r="B104" s="84" t="s">
        <v>196</v>
      </c>
      <c r="C104" s="84" t="s">
        <v>185</v>
      </c>
      <c r="D104" s="84" t="s">
        <v>79</v>
      </c>
      <c r="E104" s="94" t="s">
        <v>197</v>
      </c>
      <c r="F104" s="22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f>L104</f>
        <v>0</v>
      </c>
      <c r="L104" s="32">
        <f>1079475-1079475</f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f t="shared" si="66"/>
        <v>0</v>
      </c>
    </row>
    <row r="105" spans="1:18" s="23" customFormat="1" ht="18" customHeight="1">
      <c r="A105" s="21"/>
      <c r="B105" s="78" t="s">
        <v>217</v>
      </c>
      <c r="C105" s="78" t="s">
        <v>218</v>
      </c>
      <c r="D105" s="78" t="s">
        <v>219</v>
      </c>
      <c r="E105" s="94" t="s">
        <v>216</v>
      </c>
      <c r="F105" s="11">
        <f>G105</f>
        <v>0</v>
      </c>
      <c r="G105" s="11">
        <v>0</v>
      </c>
      <c r="H105" s="11">
        <v>0</v>
      </c>
      <c r="I105" s="11">
        <v>0</v>
      </c>
      <c r="J105" s="87">
        <v>0</v>
      </c>
      <c r="K105" s="87">
        <f>L105</f>
        <v>5900</v>
      </c>
      <c r="L105" s="32">
        <v>5900</v>
      </c>
      <c r="M105" s="11">
        <v>0</v>
      </c>
      <c r="N105" s="11">
        <v>0</v>
      </c>
      <c r="O105" s="11">
        <v>0</v>
      </c>
      <c r="P105" s="11">
        <f>L105</f>
        <v>5900</v>
      </c>
      <c r="Q105" s="11">
        <f>F105+K105</f>
        <v>5900</v>
      </c>
    </row>
    <row r="106" spans="1:18" s="23" customFormat="1" ht="47.25" customHeight="1">
      <c r="A106" s="21"/>
      <c r="B106" s="78" t="s">
        <v>221</v>
      </c>
      <c r="C106" s="78" t="s">
        <v>222</v>
      </c>
      <c r="D106" s="78" t="s">
        <v>79</v>
      </c>
      <c r="E106" s="94" t="s">
        <v>220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>L106</f>
        <v>517153</v>
      </c>
      <c r="L106" s="32">
        <f>5100+L107+4808+1100+370</f>
        <v>517153</v>
      </c>
      <c r="M106" s="11">
        <v>0</v>
      </c>
      <c r="N106" s="11">
        <v>0</v>
      </c>
      <c r="O106" s="11">
        <v>0</v>
      </c>
      <c r="P106" s="11">
        <f>L106</f>
        <v>517153</v>
      </c>
      <c r="Q106" s="11">
        <f>F106+K106</f>
        <v>517153</v>
      </c>
    </row>
    <row r="107" spans="1:18" s="149" customFormat="1" ht="47.25" customHeight="1">
      <c r="A107" s="148"/>
      <c r="B107" s="91"/>
      <c r="C107" s="91"/>
      <c r="D107" s="91"/>
      <c r="E107" s="82" t="s">
        <v>231</v>
      </c>
      <c r="F107" s="5">
        <v>0</v>
      </c>
      <c r="G107" s="5">
        <v>0</v>
      </c>
      <c r="H107" s="5">
        <v>0</v>
      </c>
      <c r="I107" s="5">
        <v>0</v>
      </c>
      <c r="J107" s="88">
        <v>0</v>
      </c>
      <c r="K107" s="87">
        <f>L107</f>
        <v>505775</v>
      </c>
      <c r="L107" s="83">
        <v>505775</v>
      </c>
      <c r="M107" s="11">
        <f>M109</f>
        <v>0</v>
      </c>
      <c r="N107" s="11">
        <f>N109</f>
        <v>0</v>
      </c>
      <c r="O107" s="11">
        <f>O109</f>
        <v>0</v>
      </c>
      <c r="P107" s="11">
        <f>L107</f>
        <v>505775</v>
      </c>
      <c r="Q107" s="11">
        <f>F107+K107</f>
        <v>505775</v>
      </c>
    </row>
    <row r="108" spans="1:18" s="161" customFormat="1" ht="26.25" customHeight="1">
      <c r="A108" s="159"/>
      <c r="B108" s="160" t="s">
        <v>238</v>
      </c>
      <c r="C108" s="164" t="s">
        <v>239</v>
      </c>
      <c r="D108" s="164" t="s">
        <v>79</v>
      </c>
      <c r="E108" s="82" t="s">
        <v>240</v>
      </c>
      <c r="F108" s="5">
        <v>0</v>
      </c>
      <c r="G108" s="5">
        <v>0</v>
      </c>
      <c r="H108" s="5">
        <v>0</v>
      </c>
      <c r="I108" s="5">
        <v>0</v>
      </c>
      <c r="J108" s="88">
        <v>0</v>
      </c>
      <c r="K108" s="87">
        <f>L108</f>
        <v>90000</v>
      </c>
      <c r="L108" s="83">
        <f>130000-40000</f>
        <v>90000</v>
      </c>
      <c r="M108" s="11">
        <v>0</v>
      </c>
      <c r="N108" s="11">
        <v>0</v>
      </c>
      <c r="O108" s="11">
        <v>0</v>
      </c>
      <c r="P108" s="11">
        <f>L108</f>
        <v>90000</v>
      </c>
      <c r="Q108" s="11">
        <f>F108+K108</f>
        <v>90000</v>
      </c>
    </row>
    <row r="109" spans="1:18" s="7" customFormat="1" ht="36.6" customHeight="1">
      <c r="A109" s="6"/>
      <c r="B109" s="78" t="s">
        <v>49</v>
      </c>
      <c r="C109" s="78" t="s">
        <v>74</v>
      </c>
      <c r="D109" s="78" t="s">
        <v>50</v>
      </c>
      <c r="E109" s="79" t="s">
        <v>51</v>
      </c>
      <c r="F109" s="11">
        <f>G109</f>
        <v>332000</v>
      </c>
      <c r="G109" s="24">
        <f>300000+32000</f>
        <v>332000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f>F109+K109</f>
        <v>332000</v>
      </c>
    </row>
    <row r="110" spans="1:18" s="15" customFormat="1" ht="36.6" customHeight="1">
      <c r="A110" s="14"/>
      <c r="B110" s="150" t="s">
        <v>232</v>
      </c>
      <c r="C110" s="151">
        <v>7622</v>
      </c>
      <c r="D110" s="150" t="s">
        <v>233</v>
      </c>
      <c r="E110" s="152" t="s">
        <v>234</v>
      </c>
      <c r="F110" s="22">
        <f>G110</f>
        <v>50000</v>
      </c>
      <c r="G110" s="32">
        <v>50000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f t="shared" ref="Q110:Q112" si="67">F110+K110</f>
        <v>50000</v>
      </c>
    </row>
    <row r="111" spans="1:18" s="23" customFormat="1" ht="36.6" customHeight="1">
      <c r="A111" s="21"/>
      <c r="B111" s="85" t="s">
        <v>198</v>
      </c>
      <c r="C111" s="84" t="s">
        <v>184</v>
      </c>
      <c r="D111" s="85" t="s">
        <v>79</v>
      </c>
      <c r="E111" s="94" t="s">
        <v>200</v>
      </c>
      <c r="F111" s="22">
        <f>G111</f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f>L111</f>
        <v>137292</v>
      </c>
      <c r="L111" s="32">
        <f>60000-20000+48100+18000+27000+4192</f>
        <v>137292</v>
      </c>
      <c r="M111" s="22">
        <v>0</v>
      </c>
      <c r="N111" s="22">
        <v>0</v>
      </c>
      <c r="O111" s="22">
        <v>0</v>
      </c>
      <c r="P111" s="22">
        <f>L111</f>
        <v>137292</v>
      </c>
      <c r="Q111" s="22">
        <f t="shared" si="67"/>
        <v>137292</v>
      </c>
    </row>
    <row r="112" spans="1:18" s="23" customFormat="1" ht="36" customHeight="1">
      <c r="A112" s="21"/>
      <c r="B112" s="85" t="s">
        <v>199</v>
      </c>
      <c r="C112" s="84" t="s">
        <v>183</v>
      </c>
      <c r="D112" s="85" t="s">
        <v>79</v>
      </c>
      <c r="E112" s="94" t="s">
        <v>201</v>
      </c>
      <c r="F112" s="22">
        <f>G112</f>
        <v>12000</v>
      </c>
      <c r="G112" s="22">
        <v>12000</v>
      </c>
      <c r="H112" s="22">
        <v>0</v>
      </c>
      <c r="I112" s="22">
        <v>0</v>
      </c>
      <c r="J112" s="22">
        <v>0</v>
      </c>
      <c r="K112" s="22">
        <f>L112</f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si="67"/>
        <v>12000</v>
      </c>
    </row>
    <row r="113" spans="1:17" s="7" customFormat="1" ht="22.15" customHeight="1">
      <c r="A113" s="6"/>
      <c r="B113" s="78" t="s">
        <v>111</v>
      </c>
      <c r="C113" s="143">
        <v>7690</v>
      </c>
      <c r="D113" s="78"/>
      <c r="E113" s="79" t="s">
        <v>112</v>
      </c>
      <c r="F113" s="11">
        <f t="shared" ref="F113:P113" si="68">F122</f>
        <v>0</v>
      </c>
      <c r="G113" s="11">
        <f t="shared" si="68"/>
        <v>0</v>
      </c>
      <c r="H113" s="11">
        <f t="shared" si="68"/>
        <v>0</v>
      </c>
      <c r="I113" s="11">
        <f t="shared" si="68"/>
        <v>0</v>
      </c>
      <c r="J113" s="11">
        <f t="shared" si="68"/>
        <v>0</v>
      </c>
      <c r="K113" s="11">
        <f t="shared" si="68"/>
        <v>95000</v>
      </c>
      <c r="L113" s="11">
        <f t="shared" si="68"/>
        <v>0</v>
      </c>
      <c r="M113" s="11">
        <f t="shared" si="68"/>
        <v>95000</v>
      </c>
      <c r="N113" s="11">
        <f t="shared" si="68"/>
        <v>0</v>
      </c>
      <c r="O113" s="11">
        <f t="shared" si="68"/>
        <v>0</v>
      </c>
      <c r="P113" s="11">
        <f t="shared" si="68"/>
        <v>0</v>
      </c>
      <c r="Q113" s="11">
        <f>F113+K113</f>
        <v>95000</v>
      </c>
    </row>
    <row r="114" spans="1:17" s="7" customFormat="1" ht="25.15" hidden="1" customHeight="1">
      <c r="A114" s="6"/>
      <c r="B114" s="168" t="s">
        <v>64</v>
      </c>
      <c r="C114" s="168" t="s">
        <v>65</v>
      </c>
      <c r="D114" s="168" t="s">
        <v>66</v>
      </c>
      <c r="E114" s="168" t="s">
        <v>67</v>
      </c>
      <c r="F114" s="166" t="s">
        <v>5</v>
      </c>
      <c r="G114" s="166"/>
      <c r="H114" s="166"/>
      <c r="I114" s="166"/>
      <c r="J114" s="166"/>
      <c r="K114" s="166" t="s">
        <v>2</v>
      </c>
      <c r="L114" s="166"/>
      <c r="M114" s="166"/>
      <c r="N114" s="166"/>
      <c r="O114" s="166"/>
      <c r="P114" s="166"/>
      <c r="Q114" s="166" t="s">
        <v>4</v>
      </c>
    </row>
    <row r="115" spans="1:17" s="7" customFormat="1" ht="25.15" hidden="1" customHeight="1">
      <c r="A115" s="6"/>
      <c r="B115" s="168"/>
      <c r="C115" s="168"/>
      <c r="D115" s="168"/>
      <c r="E115" s="168"/>
      <c r="F115" s="166" t="s">
        <v>60</v>
      </c>
      <c r="G115" s="167" t="s">
        <v>6</v>
      </c>
      <c r="H115" s="168" t="s">
        <v>7</v>
      </c>
      <c r="I115" s="168"/>
      <c r="J115" s="167" t="s">
        <v>8</v>
      </c>
      <c r="K115" s="166" t="s">
        <v>60</v>
      </c>
      <c r="L115" s="167" t="s">
        <v>61</v>
      </c>
      <c r="M115" s="167" t="s">
        <v>6</v>
      </c>
      <c r="N115" s="168" t="s">
        <v>7</v>
      </c>
      <c r="O115" s="168"/>
      <c r="P115" s="167" t="s">
        <v>8</v>
      </c>
      <c r="Q115" s="166"/>
    </row>
    <row r="116" spans="1:17" s="7" customFormat="1" ht="93.6" hidden="1" customHeight="1">
      <c r="A116" s="6"/>
      <c r="B116" s="168"/>
      <c r="C116" s="168"/>
      <c r="D116" s="168"/>
      <c r="E116" s="168"/>
      <c r="F116" s="166"/>
      <c r="G116" s="167"/>
      <c r="H116" s="143" t="s">
        <v>9</v>
      </c>
      <c r="I116" s="143" t="s">
        <v>10</v>
      </c>
      <c r="J116" s="167"/>
      <c r="K116" s="166"/>
      <c r="L116" s="167"/>
      <c r="M116" s="167"/>
      <c r="N116" s="143" t="s">
        <v>9</v>
      </c>
      <c r="O116" s="143" t="s">
        <v>10</v>
      </c>
      <c r="P116" s="167"/>
      <c r="Q116" s="166"/>
    </row>
    <row r="117" spans="1:17" s="7" customFormat="1" ht="18" hidden="1" customHeight="1">
      <c r="A117" s="6"/>
      <c r="B117" s="143">
        <v>1</v>
      </c>
      <c r="C117" s="143">
        <v>2</v>
      </c>
      <c r="D117" s="143">
        <v>3</v>
      </c>
      <c r="E117" s="143">
        <v>4</v>
      </c>
      <c r="F117" s="141">
        <v>5</v>
      </c>
      <c r="G117" s="142">
        <v>6</v>
      </c>
      <c r="H117" s="143">
        <v>7</v>
      </c>
      <c r="I117" s="143">
        <v>8</v>
      </c>
      <c r="J117" s="142">
        <v>9</v>
      </c>
      <c r="K117" s="141">
        <v>10</v>
      </c>
      <c r="L117" s="142">
        <v>11</v>
      </c>
      <c r="M117" s="142">
        <v>12</v>
      </c>
      <c r="N117" s="143">
        <v>13</v>
      </c>
      <c r="O117" s="143">
        <v>14</v>
      </c>
      <c r="P117" s="142">
        <v>15</v>
      </c>
      <c r="Q117" s="141">
        <v>16</v>
      </c>
    </row>
    <row r="118" spans="1:17" s="7" customFormat="1" ht="23.25" customHeight="1">
      <c r="A118" s="6"/>
      <c r="B118" s="168" t="s">
        <v>64</v>
      </c>
      <c r="C118" s="168" t="s">
        <v>65</v>
      </c>
      <c r="D118" s="168" t="s">
        <v>66</v>
      </c>
      <c r="E118" s="168" t="s">
        <v>67</v>
      </c>
      <c r="F118" s="166" t="s">
        <v>5</v>
      </c>
      <c r="G118" s="166"/>
      <c r="H118" s="166"/>
      <c r="I118" s="166"/>
      <c r="J118" s="166"/>
      <c r="K118" s="166" t="s">
        <v>2</v>
      </c>
      <c r="L118" s="166"/>
      <c r="M118" s="166"/>
      <c r="N118" s="166"/>
      <c r="O118" s="166"/>
      <c r="P118" s="166"/>
      <c r="Q118" s="166" t="s">
        <v>4</v>
      </c>
    </row>
    <row r="119" spans="1:17" s="7" customFormat="1" ht="27" customHeight="1">
      <c r="A119" s="6"/>
      <c r="B119" s="168"/>
      <c r="C119" s="168"/>
      <c r="D119" s="168"/>
      <c r="E119" s="168"/>
      <c r="F119" s="166" t="s">
        <v>60</v>
      </c>
      <c r="G119" s="167" t="s">
        <v>6</v>
      </c>
      <c r="H119" s="168" t="s">
        <v>7</v>
      </c>
      <c r="I119" s="168"/>
      <c r="J119" s="167" t="s">
        <v>8</v>
      </c>
      <c r="K119" s="166" t="s">
        <v>60</v>
      </c>
      <c r="L119" s="167" t="s">
        <v>61</v>
      </c>
      <c r="M119" s="167" t="s">
        <v>6</v>
      </c>
      <c r="N119" s="168" t="s">
        <v>7</v>
      </c>
      <c r="O119" s="168"/>
      <c r="P119" s="167" t="s">
        <v>8</v>
      </c>
      <c r="Q119" s="166"/>
    </row>
    <row r="120" spans="1:17" s="7" customFormat="1" ht="51.75" customHeight="1">
      <c r="A120" s="6"/>
      <c r="B120" s="168"/>
      <c r="C120" s="168"/>
      <c r="D120" s="168"/>
      <c r="E120" s="168"/>
      <c r="F120" s="166"/>
      <c r="G120" s="167"/>
      <c r="H120" s="143" t="s">
        <v>9</v>
      </c>
      <c r="I120" s="143" t="s">
        <v>10</v>
      </c>
      <c r="J120" s="167"/>
      <c r="K120" s="166"/>
      <c r="L120" s="167"/>
      <c r="M120" s="167"/>
      <c r="N120" s="143" t="s">
        <v>9</v>
      </c>
      <c r="O120" s="143" t="s">
        <v>10</v>
      </c>
      <c r="P120" s="167"/>
      <c r="Q120" s="166"/>
    </row>
    <row r="121" spans="1:17" s="7" customFormat="1" ht="15.6" customHeight="1">
      <c r="A121" s="6"/>
      <c r="B121" s="143">
        <v>1</v>
      </c>
      <c r="C121" s="143">
        <v>2</v>
      </c>
      <c r="D121" s="143">
        <v>3</v>
      </c>
      <c r="E121" s="143">
        <v>4</v>
      </c>
      <c r="F121" s="141">
        <v>5</v>
      </c>
      <c r="G121" s="142">
        <v>6</v>
      </c>
      <c r="H121" s="143">
        <v>7</v>
      </c>
      <c r="I121" s="143">
        <v>8</v>
      </c>
      <c r="J121" s="142">
        <v>9</v>
      </c>
      <c r="K121" s="141">
        <v>10</v>
      </c>
      <c r="L121" s="142">
        <v>11</v>
      </c>
      <c r="M121" s="142">
        <v>12</v>
      </c>
      <c r="N121" s="143">
        <v>13</v>
      </c>
      <c r="O121" s="143">
        <v>14</v>
      </c>
      <c r="P121" s="142">
        <v>15</v>
      </c>
      <c r="Q121" s="141">
        <v>16</v>
      </c>
    </row>
    <row r="122" spans="1:17" s="7" customFormat="1" ht="73.5" customHeight="1">
      <c r="A122" s="6"/>
      <c r="B122" s="78" t="s">
        <v>113</v>
      </c>
      <c r="C122" s="78" t="s">
        <v>114</v>
      </c>
      <c r="D122" s="78" t="s">
        <v>79</v>
      </c>
      <c r="E122" s="116" t="s">
        <v>115</v>
      </c>
      <c r="F122" s="11">
        <f>G122</f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f>M122</f>
        <v>95000</v>
      </c>
      <c r="L122" s="11">
        <v>0</v>
      </c>
      <c r="M122" s="24">
        <f>10000+65000+20000</f>
        <v>95000</v>
      </c>
      <c r="N122" s="11">
        <v>0</v>
      </c>
      <c r="O122" s="11">
        <v>0</v>
      </c>
      <c r="P122" s="11">
        <v>0</v>
      </c>
      <c r="Q122" s="11">
        <f>F122+K122</f>
        <v>95000</v>
      </c>
    </row>
    <row r="123" spans="1:17" customFormat="1" ht="48" hidden="1" customHeight="1">
      <c r="A123" s="1"/>
      <c r="B123" s="117"/>
      <c r="C123" s="118"/>
      <c r="D123" s="119"/>
      <c r="E123" s="120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s="7" customFormat="1" ht="35.25" hidden="1" customHeight="1">
      <c r="A124" s="6"/>
      <c r="B124" s="78"/>
      <c r="C124" s="78"/>
      <c r="D124" s="78"/>
      <c r="E124" s="116"/>
      <c r="F124" s="11"/>
      <c r="G124" s="12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s="7" customFormat="1" ht="26.25" customHeight="1">
      <c r="A125" s="6"/>
      <c r="B125" s="100"/>
      <c r="C125" s="100" t="s">
        <v>123</v>
      </c>
      <c r="D125" s="100"/>
      <c r="E125" s="67" t="s">
        <v>124</v>
      </c>
      <c r="F125" s="44">
        <f>F126</f>
        <v>30000</v>
      </c>
      <c r="G125" s="44">
        <f t="shared" ref="G125:Q125" si="69">G126</f>
        <v>30000</v>
      </c>
      <c r="H125" s="44">
        <f t="shared" si="69"/>
        <v>0</v>
      </c>
      <c r="I125" s="44">
        <f t="shared" si="69"/>
        <v>20000</v>
      </c>
      <c r="J125" s="44">
        <f t="shared" si="69"/>
        <v>0</v>
      </c>
      <c r="K125" s="44">
        <f t="shared" si="69"/>
        <v>0</v>
      </c>
      <c r="L125" s="44">
        <f t="shared" si="69"/>
        <v>0</v>
      </c>
      <c r="M125" s="44">
        <f t="shared" si="69"/>
        <v>0</v>
      </c>
      <c r="N125" s="44">
        <f t="shared" si="69"/>
        <v>0</v>
      </c>
      <c r="O125" s="44">
        <f t="shared" si="69"/>
        <v>0</v>
      </c>
      <c r="P125" s="44">
        <f t="shared" si="69"/>
        <v>0</v>
      </c>
      <c r="Q125" s="44">
        <f t="shared" si="69"/>
        <v>30000</v>
      </c>
    </row>
    <row r="126" spans="1:17" s="7" customFormat="1" ht="21.75" customHeight="1">
      <c r="A126" s="6"/>
      <c r="B126" s="78" t="s">
        <v>125</v>
      </c>
      <c r="C126" s="78" t="s">
        <v>126</v>
      </c>
      <c r="D126" s="78" t="s">
        <v>127</v>
      </c>
      <c r="E126" s="79" t="s">
        <v>128</v>
      </c>
      <c r="F126" s="11">
        <f>G126</f>
        <v>30000</v>
      </c>
      <c r="G126" s="24">
        <v>30000</v>
      </c>
      <c r="H126" s="11">
        <v>0</v>
      </c>
      <c r="I126" s="24">
        <v>20000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f>F126+K126</f>
        <v>30000</v>
      </c>
    </row>
    <row r="127" spans="1:17" s="7" customFormat="1" ht="31.9" customHeight="1">
      <c r="A127" s="6"/>
      <c r="B127" s="100"/>
      <c r="C127" s="100" t="s">
        <v>116</v>
      </c>
      <c r="D127" s="100"/>
      <c r="E127" s="67" t="s">
        <v>117</v>
      </c>
      <c r="F127" s="44">
        <f>F128</f>
        <v>0</v>
      </c>
      <c r="G127" s="44">
        <f t="shared" ref="G127:Q129" si="70">G128</f>
        <v>0</v>
      </c>
      <c r="H127" s="44">
        <f t="shared" si="70"/>
        <v>0</v>
      </c>
      <c r="I127" s="44">
        <f t="shared" si="70"/>
        <v>0</v>
      </c>
      <c r="J127" s="44">
        <f t="shared" si="70"/>
        <v>0</v>
      </c>
      <c r="K127" s="44">
        <f>K128</f>
        <v>15000</v>
      </c>
      <c r="L127" s="44">
        <f t="shared" si="70"/>
        <v>0</v>
      </c>
      <c r="M127" s="44">
        <f t="shared" si="70"/>
        <v>15000</v>
      </c>
      <c r="N127" s="44">
        <f t="shared" si="70"/>
        <v>0</v>
      </c>
      <c r="O127" s="44">
        <f t="shared" si="70"/>
        <v>0</v>
      </c>
      <c r="P127" s="44">
        <f t="shared" si="70"/>
        <v>0</v>
      </c>
      <c r="Q127" s="44">
        <f t="shared" si="70"/>
        <v>15000</v>
      </c>
    </row>
    <row r="128" spans="1:17" s="7" customFormat="1" ht="32.25" customHeight="1">
      <c r="A128" s="6"/>
      <c r="B128" s="78" t="s">
        <v>52</v>
      </c>
      <c r="C128" s="78" t="s">
        <v>78</v>
      </c>
      <c r="D128" s="78"/>
      <c r="E128" s="79" t="s">
        <v>53</v>
      </c>
      <c r="F128" s="11">
        <f>F129</f>
        <v>0</v>
      </c>
      <c r="G128" s="11">
        <f t="shared" si="70"/>
        <v>0</v>
      </c>
      <c r="H128" s="11">
        <f t="shared" si="70"/>
        <v>0</v>
      </c>
      <c r="I128" s="11">
        <f t="shared" si="70"/>
        <v>0</v>
      </c>
      <c r="J128" s="11">
        <f t="shared" si="70"/>
        <v>0</v>
      </c>
      <c r="K128" s="11">
        <f t="shared" si="70"/>
        <v>15000</v>
      </c>
      <c r="L128" s="11">
        <f t="shared" si="70"/>
        <v>0</v>
      </c>
      <c r="M128" s="11">
        <f t="shared" si="70"/>
        <v>15000</v>
      </c>
      <c r="N128" s="11">
        <f t="shared" si="70"/>
        <v>0</v>
      </c>
      <c r="O128" s="11">
        <f t="shared" si="70"/>
        <v>0</v>
      </c>
      <c r="P128" s="11">
        <f t="shared" si="70"/>
        <v>0</v>
      </c>
      <c r="Q128" s="11">
        <f>F128+K128</f>
        <v>15000</v>
      </c>
    </row>
    <row r="129" spans="1:18" s="7" customFormat="1" ht="28.5" customHeight="1">
      <c r="A129" s="6"/>
      <c r="B129" s="78" t="s">
        <v>54</v>
      </c>
      <c r="C129" s="78" t="s">
        <v>75</v>
      </c>
      <c r="D129" s="78" t="s">
        <v>55</v>
      </c>
      <c r="E129" s="79" t="s">
        <v>56</v>
      </c>
      <c r="F129" s="11">
        <f>F130</f>
        <v>0</v>
      </c>
      <c r="G129" s="11">
        <f t="shared" si="70"/>
        <v>0</v>
      </c>
      <c r="H129" s="11">
        <f t="shared" si="70"/>
        <v>0</v>
      </c>
      <c r="I129" s="11">
        <f t="shared" si="70"/>
        <v>0</v>
      </c>
      <c r="J129" s="11">
        <f t="shared" si="70"/>
        <v>0</v>
      </c>
      <c r="K129" s="11">
        <f t="shared" si="70"/>
        <v>15000</v>
      </c>
      <c r="L129" s="11">
        <f t="shared" si="70"/>
        <v>0</v>
      </c>
      <c r="M129" s="11">
        <f t="shared" si="70"/>
        <v>15000</v>
      </c>
      <c r="N129" s="11">
        <f t="shared" si="70"/>
        <v>0</v>
      </c>
      <c r="O129" s="11">
        <f t="shared" si="70"/>
        <v>0</v>
      </c>
      <c r="P129" s="11">
        <f t="shared" si="70"/>
        <v>0</v>
      </c>
      <c r="Q129" s="11">
        <f t="shared" si="70"/>
        <v>15000</v>
      </c>
    </row>
    <row r="130" spans="1:18" s="7" customFormat="1" ht="21" customHeight="1">
      <c r="A130" s="6"/>
      <c r="B130" s="78"/>
      <c r="C130" s="78"/>
      <c r="D130" s="78"/>
      <c r="E130" s="80" t="s">
        <v>19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f>M130</f>
        <v>15000</v>
      </c>
      <c r="L130" s="11">
        <v>0</v>
      </c>
      <c r="M130" s="24">
        <v>15000</v>
      </c>
      <c r="N130" s="11">
        <v>0</v>
      </c>
      <c r="O130" s="11">
        <v>0</v>
      </c>
      <c r="P130" s="11">
        <v>0</v>
      </c>
      <c r="Q130" s="11">
        <f>F130+K130</f>
        <v>15000</v>
      </c>
    </row>
    <row r="131" spans="1:18" s="27" customFormat="1" ht="24" customHeight="1">
      <c r="A131" s="26"/>
      <c r="B131" s="60" t="s">
        <v>136</v>
      </c>
      <c r="C131" s="61" t="s">
        <v>3</v>
      </c>
      <c r="D131" s="62" t="s">
        <v>3</v>
      </c>
      <c r="E131" s="63" t="s">
        <v>137</v>
      </c>
      <c r="F131" s="64">
        <f>F132</f>
        <v>2174938</v>
      </c>
      <c r="G131" s="64">
        <f t="shared" ref="G131:P131" si="71">G132</f>
        <v>2124938</v>
      </c>
      <c r="H131" s="64">
        <f t="shared" si="71"/>
        <v>565000</v>
      </c>
      <c r="I131" s="64">
        <f t="shared" si="71"/>
        <v>10000</v>
      </c>
      <c r="J131" s="64">
        <f t="shared" si="71"/>
        <v>0</v>
      </c>
      <c r="K131" s="64">
        <f t="shared" si="71"/>
        <v>1370057</v>
      </c>
      <c r="L131" s="64">
        <f t="shared" si="71"/>
        <v>1370057</v>
      </c>
      <c r="M131" s="64">
        <f t="shared" si="71"/>
        <v>0</v>
      </c>
      <c r="N131" s="64">
        <f t="shared" si="71"/>
        <v>0</v>
      </c>
      <c r="O131" s="64">
        <f t="shared" si="71"/>
        <v>0</v>
      </c>
      <c r="P131" s="64">
        <f t="shared" si="71"/>
        <v>1370057</v>
      </c>
      <c r="Q131" s="64">
        <f>Q132</f>
        <v>3544995</v>
      </c>
    </row>
    <row r="132" spans="1:18" s="7" customFormat="1" ht="25.5" customHeight="1">
      <c r="A132" s="6"/>
      <c r="B132" s="65" t="s">
        <v>138</v>
      </c>
      <c r="C132" s="66"/>
      <c r="D132" s="141"/>
      <c r="E132" s="67" t="s">
        <v>137</v>
      </c>
      <c r="F132" s="44">
        <f>F133+F137+F135</f>
        <v>2174938</v>
      </c>
      <c r="G132" s="44">
        <f t="shared" ref="G132:Q132" si="72">G133+G137+G135</f>
        <v>2124938</v>
      </c>
      <c r="H132" s="44">
        <f t="shared" si="72"/>
        <v>565000</v>
      </c>
      <c r="I132" s="44">
        <f t="shared" si="72"/>
        <v>10000</v>
      </c>
      <c r="J132" s="44">
        <f t="shared" si="72"/>
        <v>0</v>
      </c>
      <c r="K132" s="44">
        <f t="shared" si="72"/>
        <v>1370057</v>
      </c>
      <c r="L132" s="44">
        <f t="shared" si="72"/>
        <v>1370057</v>
      </c>
      <c r="M132" s="44">
        <f t="shared" si="72"/>
        <v>0</v>
      </c>
      <c r="N132" s="44">
        <f t="shared" si="72"/>
        <v>0</v>
      </c>
      <c r="O132" s="44">
        <f t="shared" si="72"/>
        <v>0</v>
      </c>
      <c r="P132" s="44">
        <f t="shared" si="72"/>
        <v>1370057</v>
      </c>
      <c r="Q132" s="44">
        <f t="shared" si="72"/>
        <v>3544995</v>
      </c>
    </row>
    <row r="133" spans="1:18" s="7" customFormat="1" ht="15.75" customHeight="1">
      <c r="A133" s="6"/>
      <c r="B133" s="65"/>
      <c r="C133" s="65" t="s">
        <v>80</v>
      </c>
      <c r="D133" s="141"/>
      <c r="E133" s="67" t="s">
        <v>81</v>
      </c>
      <c r="F133" s="44">
        <f>F134</f>
        <v>762000</v>
      </c>
      <c r="G133" s="44">
        <f t="shared" ref="G133:P133" si="73">G134</f>
        <v>762000</v>
      </c>
      <c r="H133" s="44">
        <f t="shared" si="73"/>
        <v>565000</v>
      </c>
      <c r="I133" s="44">
        <f>I134</f>
        <v>10000</v>
      </c>
      <c r="J133" s="44">
        <f t="shared" si="73"/>
        <v>0</v>
      </c>
      <c r="K133" s="44">
        <f t="shared" si="73"/>
        <v>0</v>
      </c>
      <c r="L133" s="44">
        <f>L134</f>
        <v>0</v>
      </c>
      <c r="M133" s="44">
        <f>M134</f>
        <v>0</v>
      </c>
      <c r="N133" s="44">
        <f t="shared" si="73"/>
        <v>0</v>
      </c>
      <c r="O133" s="44">
        <f t="shared" si="73"/>
        <v>0</v>
      </c>
      <c r="P133" s="44">
        <f t="shared" si="73"/>
        <v>0</v>
      </c>
      <c r="Q133" s="44">
        <f t="shared" ref="Q133" si="74">F133+K133</f>
        <v>762000</v>
      </c>
    </row>
    <row r="134" spans="1:18" s="23" customFormat="1" ht="45" customHeight="1">
      <c r="A134" s="21"/>
      <c r="B134" s="122">
        <v>3710160</v>
      </c>
      <c r="C134" s="122" t="s">
        <v>85</v>
      </c>
      <c r="D134" s="122" t="s">
        <v>13</v>
      </c>
      <c r="E134" s="123" t="s">
        <v>14</v>
      </c>
      <c r="F134" s="22">
        <f>G134</f>
        <v>762000</v>
      </c>
      <c r="G134" s="32">
        <f>765000+15000-5000-13000</f>
        <v>762000</v>
      </c>
      <c r="H134" s="32">
        <v>565000</v>
      </c>
      <c r="I134" s="32">
        <f>23000-13000</f>
        <v>10000</v>
      </c>
      <c r="J134" s="22">
        <v>0</v>
      </c>
      <c r="K134" s="22">
        <f>L134</f>
        <v>0</v>
      </c>
      <c r="L134" s="32">
        <v>0</v>
      </c>
      <c r="M134" s="22">
        <v>0</v>
      </c>
      <c r="N134" s="22">
        <v>0</v>
      </c>
      <c r="O134" s="22">
        <v>0</v>
      </c>
      <c r="P134" s="22">
        <f>L134</f>
        <v>0</v>
      </c>
      <c r="Q134" s="22">
        <f>K134+F134</f>
        <v>762000</v>
      </c>
    </row>
    <row r="135" spans="1:18" s="41" customFormat="1" ht="21.75" customHeight="1">
      <c r="A135" s="40"/>
      <c r="B135" s="124"/>
      <c r="C135" s="124" t="s">
        <v>118</v>
      </c>
      <c r="D135" s="124"/>
      <c r="E135" s="125" t="s">
        <v>119</v>
      </c>
      <c r="F135" s="126">
        <f>F136</f>
        <v>50000</v>
      </c>
      <c r="G135" s="126">
        <f t="shared" ref="G135:P135" si="75">G136</f>
        <v>0</v>
      </c>
      <c r="H135" s="126">
        <f t="shared" si="75"/>
        <v>0</v>
      </c>
      <c r="I135" s="126">
        <f t="shared" si="75"/>
        <v>0</v>
      </c>
      <c r="J135" s="126">
        <f t="shared" si="75"/>
        <v>0</v>
      </c>
      <c r="K135" s="126">
        <f t="shared" si="75"/>
        <v>0</v>
      </c>
      <c r="L135" s="126">
        <f t="shared" si="75"/>
        <v>0</v>
      </c>
      <c r="M135" s="126">
        <f t="shared" si="75"/>
        <v>0</v>
      </c>
      <c r="N135" s="126">
        <f t="shared" si="75"/>
        <v>0</v>
      </c>
      <c r="O135" s="126">
        <f t="shared" si="75"/>
        <v>0</v>
      </c>
      <c r="P135" s="126">
        <f t="shared" si="75"/>
        <v>0</v>
      </c>
      <c r="Q135" s="127">
        <f t="shared" ref="Q135" si="76">F135+K135</f>
        <v>50000</v>
      </c>
    </row>
    <row r="136" spans="1:18" s="31" customFormat="1" ht="18.75" customHeight="1">
      <c r="A136" s="29"/>
      <c r="B136" s="110" t="s">
        <v>174</v>
      </c>
      <c r="C136" s="111">
        <v>8710</v>
      </c>
      <c r="D136" s="110" t="s">
        <v>57</v>
      </c>
      <c r="E136" s="128" t="s">
        <v>178</v>
      </c>
      <c r="F136" s="129">
        <f>100000-50000</f>
        <v>50000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f t="shared" ref="Q136" si="77">F136+K136</f>
        <v>50000</v>
      </c>
    </row>
    <row r="137" spans="1:18" s="7" customFormat="1" ht="24" customHeight="1">
      <c r="A137" s="6"/>
      <c r="B137" s="130"/>
      <c r="C137" s="141">
        <v>9000</v>
      </c>
      <c r="D137" s="100"/>
      <c r="E137" s="131" t="s">
        <v>203</v>
      </c>
      <c r="F137" s="44">
        <f>SUM(F138:F140)</f>
        <v>1362938</v>
      </c>
      <c r="G137" s="44">
        <f t="shared" ref="G137:Q137" si="78">SUM(G138:G140)</f>
        <v>1362938</v>
      </c>
      <c r="H137" s="44">
        <f t="shared" si="78"/>
        <v>0</v>
      </c>
      <c r="I137" s="44">
        <f t="shared" si="78"/>
        <v>0</v>
      </c>
      <c r="J137" s="44">
        <f t="shared" si="78"/>
        <v>0</v>
      </c>
      <c r="K137" s="44">
        <f>SUM(K138:K140)</f>
        <v>1370057</v>
      </c>
      <c r="L137" s="44">
        <f t="shared" si="78"/>
        <v>1370057</v>
      </c>
      <c r="M137" s="44">
        <f t="shared" si="78"/>
        <v>0</v>
      </c>
      <c r="N137" s="44">
        <f t="shared" si="78"/>
        <v>0</v>
      </c>
      <c r="O137" s="44">
        <f t="shared" si="78"/>
        <v>0</v>
      </c>
      <c r="P137" s="44">
        <f t="shared" si="78"/>
        <v>1370057</v>
      </c>
      <c r="Q137" s="44">
        <f t="shared" si="78"/>
        <v>2732995</v>
      </c>
    </row>
    <row r="138" spans="1:18" s="7" customFormat="1" ht="29.25" customHeight="1">
      <c r="A138" s="6"/>
      <c r="B138" s="132">
        <v>3719750</v>
      </c>
      <c r="C138" s="143">
        <v>9750</v>
      </c>
      <c r="D138" s="132" t="s">
        <v>58</v>
      </c>
      <c r="E138" s="116" t="s">
        <v>202</v>
      </c>
      <c r="F138" s="133">
        <v>0</v>
      </c>
      <c r="G138" s="133">
        <v>0</v>
      </c>
      <c r="H138" s="133">
        <v>0</v>
      </c>
      <c r="I138" s="133">
        <v>0</v>
      </c>
      <c r="J138" s="133">
        <v>0</v>
      </c>
      <c r="K138" s="22">
        <f>L138</f>
        <v>1079475</v>
      </c>
      <c r="L138" s="32">
        <v>1079475</v>
      </c>
      <c r="M138" s="22">
        <v>0</v>
      </c>
      <c r="N138" s="22">
        <v>0</v>
      </c>
      <c r="O138" s="22">
        <v>0</v>
      </c>
      <c r="P138" s="22">
        <f>L138</f>
        <v>1079475</v>
      </c>
      <c r="Q138" s="134">
        <f>F138+K138</f>
        <v>1079475</v>
      </c>
    </row>
    <row r="139" spans="1:18" s="13" customFormat="1" ht="25.5" customHeight="1">
      <c r="A139" s="12"/>
      <c r="B139" s="132">
        <v>3719770</v>
      </c>
      <c r="C139" s="132" t="s">
        <v>76</v>
      </c>
      <c r="D139" s="132" t="s">
        <v>58</v>
      </c>
      <c r="E139" s="135" t="s">
        <v>59</v>
      </c>
      <c r="F139" s="133">
        <f>G139</f>
        <v>1302938</v>
      </c>
      <c r="G139" s="71">
        <f>657614+25000+70000+12000+180000+293000+21052+36072+20000-20000+8200</f>
        <v>1302938</v>
      </c>
      <c r="H139" s="133">
        <v>0</v>
      </c>
      <c r="I139" s="133">
        <v>0</v>
      </c>
      <c r="J139" s="133">
        <v>0</v>
      </c>
      <c r="K139" s="133">
        <f>L139</f>
        <v>290582</v>
      </c>
      <c r="L139" s="71">
        <f>20000+220582+50000</f>
        <v>290582</v>
      </c>
      <c r="M139" s="133">
        <v>0</v>
      </c>
      <c r="N139" s="133">
        <v>0</v>
      </c>
      <c r="O139" s="133">
        <v>0</v>
      </c>
      <c r="P139" s="133">
        <f>L139</f>
        <v>290582</v>
      </c>
      <c r="Q139" s="134">
        <f>F139+K139</f>
        <v>1593520</v>
      </c>
    </row>
    <row r="140" spans="1:18" s="41" customFormat="1" ht="36.75" customHeight="1">
      <c r="A140" s="40"/>
      <c r="B140" s="136" t="s">
        <v>180</v>
      </c>
      <c r="C140" s="137">
        <v>9800</v>
      </c>
      <c r="D140" s="132" t="s">
        <v>58</v>
      </c>
      <c r="E140" s="165" t="s">
        <v>181</v>
      </c>
      <c r="F140" s="127">
        <f>G140</f>
        <v>60000</v>
      </c>
      <c r="G140" s="138">
        <f>40000+20000</f>
        <v>60000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9">
        <f t="shared" ref="Q140" si="79">F140+K140</f>
        <v>60000</v>
      </c>
    </row>
    <row r="141" spans="1:18" s="15" customFormat="1" ht="16.899999999999999" customHeight="1">
      <c r="A141" s="14"/>
      <c r="B141" s="141" t="s">
        <v>3</v>
      </c>
      <c r="C141" s="141" t="s">
        <v>3</v>
      </c>
      <c r="D141" s="141" t="s">
        <v>3</v>
      </c>
      <c r="E141" s="140" t="s">
        <v>1</v>
      </c>
      <c r="F141" s="44">
        <f t="shared" ref="F141:Q141" si="80">F131+F12</f>
        <v>71376546.180000007</v>
      </c>
      <c r="G141" s="44">
        <f t="shared" si="80"/>
        <v>71326546.180000007</v>
      </c>
      <c r="H141" s="44">
        <f t="shared" si="80"/>
        <v>45929158.480000004</v>
      </c>
      <c r="I141" s="44">
        <f t="shared" si="80"/>
        <v>3384590</v>
      </c>
      <c r="J141" s="44">
        <f t="shared" si="80"/>
        <v>0</v>
      </c>
      <c r="K141" s="44">
        <f t="shared" si="80"/>
        <v>6506617</v>
      </c>
      <c r="L141" s="44">
        <f t="shared" si="80"/>
        <v>5443617</v>
      </c>
      <c r="M141" s="44">
        <f t="shared" si="80"/>
        <v>1063000</v>
      </c>
      <c r="N141" s="44">
        <f t="shared" si="80"/>
        <v>10000</v>
      </c>
      <c r="O141" s="44">
        <f t="shared" si="80"/>
        <v>0</v>
      </c>
      <c r="P141" s="44">
        <f t="shared" si="80"/>
        <v>5443617</v>
      </c>
      <c r="Q141" s="44">
        <f t="shared" si="80"/>
        <v>77883163.180000007</v>
      </c>
      <c r="R141" s="162">
        <f>77889274.18-Q141</f>
        <v>6111</v>
      </c>
    </row>
    <row r="142" spans="1:18" s="16" customFormat="1" ht="104.25" customHeight="1">
      <c r="B142" s="146"/>
      <c r="C142" s="146"/>
      <c r="D142" s="146"/>
      <c r="E142" s="146" t="s">
        <v>208</v>
      </c>
      <c r="F142" s="146"/>
      <c r="G142" s="146"/>
      <c r="H142" s="146"/>
      <c r="I142" s="146"/>
      <c r="J142" s="146"/>
      <c r="K142" s="146" t="s">
        <v>209</v>
      </c>
      <c r="L142" s="146"/>
      <c r="M142" s="146"/>
      <c r="N142" s="146"/>
      <c r="O142" s="146"/>
      <c r="P142" s="146"/>
      <c r="Q142" s="146"/>
      <c r="R142" s="17"/>
    </row>
    <row r="143" spans="1:18" ht="39" customHeight="1">
      <c r="G143" s="18">
        <f>F141-G141</f>
        <v>50000</v>
      </c>
      <c r="H143" s="2" t="s">
        <v>223</v>
      </c>
    </row>
    <row r="144" spans="1:18">
      <c r="F144" s="3"/>
      <c r="K144" s="145" t="s">
        <v>210</v>
      </c>
      <c r="L144" s="169">
        <f>978000+27000+20000+20000</f>
        <v>1045000</v>
      </c>
      <c r="M144" s="169"/>
      <c r="O144" s="154" t="s">
        <v>236</v>
      </c>
      <c r="P144" s="155"/>
    </row>
    <row r="145" spans="6:17" ht="21" customHeight="1">
      <c r="F145" s="18" t="s">
        <v>212</v>
      </c>
      <c r="G145" s="2">
        <f>67592411+117386+77534+1158-6111</f>
        <v>67782378</v>
      </c>
      <c r="K145" s="144" t="s">
        <v>211</v>
      </c>
      <c r="M145" s="176">
        <f>L144-K141</f>
        <v>-5461617</v>
      </c>
      <c r="N145" s="176"/>
      <c r="O145" s="175">
        <f>L141-P149</f>
        <v>5310917</v>
      </c>
      <c r="P145" s="175"/>
      <c r="Q145" s="157"/>
    </row>
    <row r="146" spans="6:17" ht="16.5" customHeight="1">
      <c r="F146" s="144" t="s">
        <v>211</v>
      </c>
      <c r="G146" s="59"/>
      <c r="O146" s="156"/>
      <c r="P146" s="156"/>
    </row>
    <row r="147" spans="6:17" ht="18.75" customHeight="1">
      <c r="F147" s="176">
        <f>G145-F141</f>
        <v>-3594168.1800000072</v>
      </c>
      <c r="G147" s="176"/>
      <c r="O147" s="156" t="s">
        <v>237</v>
      </c>
      <c r="P147" s="175">
        <f>5369900-11590-40000-7393</f>
        <v>5310917</v>
      </c>
      <c r="Q147" s="175"/>
    </row>
    <row r="148" spans="6:17" ht="16.899999999999999" customHeight="1">
      <c r="G148" s="158"/>
    </row>
    <row r="149" spans="6:17" ht="29.25" customHeight="1">
      <c r="O149" s="4" t="s">
        <v>242</v>
      </c>
      <c r="P149" s="153">
        <f>L141-P147</f>
        <v>132700</v>
      </c>
      <c r="Q149" s="4" t="s">
        <v>241</v>
      </c>
    </row>
    <row r="150" spans="6:17" ht="40.5" customHeight="1"/>
    <row r="151" spans="6:17" ht="28.5" customHeight="1"/>
    <row r="152" spans="6:17" ht="66.599999999999994" customHeight="1">
      <c r="K152" s="2"/>
      <c r="L152" s="2"/>
      <c r="M152" s="2"/>
      <c r="N152" s="2"/>
      <c r="O152" s="2"/>
      <c r="P152" s="2"/>
      <c r="Q152" s="2"/>
    </row>
    <row r="153" spans="6:17" ht="34.15" customHeight="1">
      <c r="K153" s="2"/>
      <c r="L153" s="2"/>
      <c r="M153" s="2"/>
      <c r="N153" s="2"/>
      <c r="O153" s="2"/>
      <c r="P153" s="2"/>
      <c r="Q153" s="2"/>
    </row>
    <row r="154" spans="6:17" ht="58.15" customHeight="1">
      <c r="K154" s="2"/>
      <c r="L154" s="2"/>
      <c r="M154" s="2"/>
      <c r="N154" s="2"/>
      <c r="O154" s="2"/>
      <c r="P154" s="2"/>
      <c r="Q154" s="2"/>
    </row>
    <row r="155" spans="6:17" ht="58.15" customHeight="1">
      <c r="K155" s="2"/>
      <c r="L155" s="2"/>
      <c r="M155" s="2"/>
      <c r="N155" s="2"/>
      <c r="O155" s="2"/>
      <c r="P155" s="2"/>
      <c r="Q155" s="2"/>
    </row>
    <row r="156" spans="6:17" ht="19.899999999999999" customHeight="1">
      <c r="K156" s="2"/>
      <c r="L156" s="2"/>
      <c r="M156" s="2"/>
      <c r="N156" s="2"/>
      <c r="O156" s="2"/>
      <c r="P156" s="2"/>
      <c r="Q156" s="2"/>
    </row>
    <row r="157" spans="6:17" ht="40.15" customHeight="1">
      <c r="K157" s="2"/>
      <c r="L157" s="2"/>
      <c r="M157" s="2"/>
      <c r="N157" s="2"/>
      <c r="O157" s="2"/>
      <c r="P157" s="2"/>
      <c r="Q157" s="2"/>
    </row>
    <row r="158" spans="6:17" ht="40.15" customHeight="1">
      <c r="K158" s="2"/>
      <c r="L158" s="2"/>
      <c r="M158" s="2"/>
      <c r="N158" s="2"/>
      <c r="O158" s="2"/>
      <c r="P158" s="2"/>
      <c r="Q158" s="2"/>
    </row>
    <row r="159" spans="6:17" ht="49.15" customHeight="1">
      <c r="K159" s="2"/>
      <c r="L159" s="2"/>
      <c r="M159" s="2"/>
      <c r="N159" s="2"/>
      <c r="O159" s="2"/>
      <c r="P159" s="2"/>
      <c r="Q159" s="2"/>
    </row>
    <row r="160" spans="6:17" ht="16.149999999999999" customHeight="1">
      <c r="K160" s="2"/>
      <c r="L160" s="2"/>
      <c r="M160" s="2"/>
      <c r="N160" s="2"/>
      <c r="O160" s="2"/>
      <c r="P160" s="2"/>
      <c r="Q160" s="2"/>
    </row>
    <row r="161" spans="11:17" ht="16.149999999999999" customHeight="1">
      <c r="K161" s="2"/>
      <c r="L161" s="2"/>
      <c r="M161" s="2"/>
      <c r="N161" s="2"/>
      <c r="O161" s="2"/>
      <c r="P161" s="2"/>
      <c r="Q161" s="2"/>
    </row>
    <row r="162" spans="11:17" ht="42.75" customHeight="1">
      <c r="K162" s="2"/>
      <c r="L162" s="2"/>
      <c r="M162" s="2"/>
      <c r="N162" s="2"/>
      <c r="O162" s="2"/>
      <c r="P162" s="2"/>
      <c r="Q162" s="2"/>
    </row>
    <row r="163" spans="11:17" ht="17.45" customHeight="1">
      <c r="K163" s="2"/>
      <c r="L163" s="2"/>
      <c r="M163" s="2"/>
      <c r="N163" s="2"/>
      <c r="O163" s="2"/>
      <c r="P163" s="2"/>
      <c r="Q163" s="2"/>
    </row>
    <row r="164" spans="11:17" ht="15" hidden="1" customHeight="1">
      <c r="K164" s="2"/>
      <c r="L164" s="2"/>
      <c r="M164" s="2"/>
      <c r="N164" s="2"/>
      <c r="O164" s="2"/>
      <c r="P164" s="2"/>
      <c r="Q164" s="2"/>
    </row>
    <row r="165" spans="11:17" ht="61.9" customHeight="1">
      <c r="K165" s="2"/>
      <c r="L165" s="2"/>
      <c r="M165" s="2"/>
      <c r="N165" s="2"/>
      <c r="O165" s="2"/>
      <c r="P165" s="2"/>
      <c r="Q165" s="2"/>
    </row>
    <row r="166" spans="11:17" ht="27" customHeight="1">
      <c r="K166" s="2"/>
      <c r="L166" s="2"/>
      <c r="M166" s="2"/>
      <c r="N166" s="2"/>
      <c r="O166" s="2"/>
      <c r="P166" s="2"/>
      <c r="Q166" s="2"/>
    </row>
    <row r="167" spans="11:17" ht="35.25" customHeight="1">
      <c r="K167" s="2"/>
      <c r="L167" s="2"/>
      <c r="M167" s="2"/>
      <c r="N167" s="2"/>
      <c r="O167" s="2"/>
      <c r="P167" s="2"/>
      <c r="Q167" s="2"/>
    </row>
    <row r="168" spans="11:17" ht="60" customHeight="1">
      <c r="K168" s="2"/>
      <c r="L168" s="2"/>
      <c r="M168" s="2"/>
      <c r="N168" s="2"/>
      <c r="O168" s="2"/>
      <c r="P168" s="2"/>
      <c r="Q168" s="2"/>
    </row>
    <row r="169" spans="11:17" ht="27" customHeight="1">
      <c r="K169" s="2"/>
      <c r="L169" s="2"/>
      <c r="M169" s="2"/>
      <c r="N169" s="2"/>
      <c r="O169" s="2"/>
      <c r="P169" s="2"/>
      <c r="Q169" s="2"/>
    </row>
    <row r="170" spans="11:17" ht="54.75" customHeight="1">
      <c r="K170" s="2"/>
      <c r="L170" s="2"/>
      <c r="M170" s="2"/>
      <c r="N170" s="2"/>
      <c r="O170" s="2"/>
      <c r="P170" s="2"/>
      <c r="Q170" s="2"/>
    </row>
    <row r="171" spans="11:17" ht="23.45" customHeight="1">
      <c r="K171" s="2"/>
      <c r="L171" s="2"/>
      <c r="M171" s="2"/>
      <c r="N171" s="2"/>
      <c r="O171" s="2"/>
      <c r="P171" s="2"/>
      <c r="Q171" s="2"/>
    </row>
    <row r="172" spans="11:17" ht="15" hidden="1" customHeight="1">
      <c r="K172" s="2"/>
      <c r="L172" s="2"/>
      <c r="M172" s="2"/>
      <c r="N172" s="2"/>
      <c r="O172" s="2"/>
      <c r="P172" s="2"/>
      <c r="Q172" s="2"/>
    </row>
    <row r="173" spans="11:17" ht="77.45" customHeight="1">
      <c r="K173" s="2"/>
      <c r="L173" s="2"/>
      <c r="M173" s="2"/>
      <c r="N173" s="2"/>
      <c r="O173" s="2"/>
      <c r="P173" s="2"/>
      <c r="Q173" s="2"/>
    </row>
    <row r="174" spans="11:17" ht="24.75" customHeight="1">
      <c r="K174" s="2"/>
      <c r="L174" s="2"/>
      <c r="M174" s="2"/>
      <c r="N174" s="2"/>
      <c r="O174" s="2"/>
      <c r="P174" s="2"/>
      <c r="Q174" s="2"/>
    </row>
    <row r="175" spans="11:17" ht="18" customHeight="1">
      <c r="K175" s="2"/>
      <c r="L175" s="2"/>
      <c r="M175" s="2"/>
      <c r="N175" s="2"/>
      <c r="O175" s="2"/>
      <c r="P175" s="2"/>
      <c r="Q175" s="2"/>
    </row>
    <row r="176" spans="11:17" ht="118.15" customHeight="1">
      <c r="K176" s="2"/>
      <c r="L176" s="2"/>
      <c r="M176" s="2"/>
      <c r="N176" s="2"/>
      <c r="O176" s="2"/>
      <c r="P176" s="2"/>
      <c r="Q176" s="2"/>
    </row>
    <row r="177" spans="11:17" ht="20.45" customHeight="1">
      <c r="K177" s="2"/>
      <c r="L177" s="2"/>
      <c r="M177" s="2"/>
      <c r="N177" s="2"/>
      <c r="O177" s="2"/>
      <c r="P177" s="2"/>
      <c r="Q177" s="2"/>
    </row>
    <row r="178" spans="11:17" ht="52.5" customHeight="1">
      <c r="K178" s="2"/>
      <c r="L178" s="2"/>
      <c r="M178" s="2"/>
      <c r="N178" s="2"/>
      <c r="O178" s="2"/>
      <c r="P178" s="2"/>
      <c r="Q178" s="2"/>
    </row>
    <row r="179" spans="11:17" ht="51.75" customHeight="1">
      <c r="K179" s="2"/>
      <c r="L179" s="2"/>
      <c r="M179" s="2"/>
      <c r="N179" s="2"/>
      <c r="O179" s="2"/>
      <c r="P179" s="2"/>
      <c r="Q179" s="2"/>
    </row>
    <row r="180" spans="11:17" ht="25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57.75" customHeight="1">
      <c r="K182" s="2"/>
      <c r="L182" s="2"/>
      <c r="M182" s="2"/>
      <c r="N182" s="2"/>
      <c r="O182" s="2"/>
      <c r="P182" s="2"/>
      <c r="Q182" s="2"/>
    </row>
    <row r="183" spans="11:17" ht="28.9" customHeight="1">
      <c r="K183" s="2"/>
      <c r="L183" s="2"/>
      <c r="M183" s="2"/>
      <c r="N183" s="2"/>
      <c r="O183" s="2"/>
      <c r="P183" s="2"/>
      <c r="Q183" s="2"/>
    </row>
    <row r="184" spans="11:17" ht="25.5" customHeight="1">
      <c r="K184" s="2"/>
      <c r="L184" s="2"/>
      <c r="M184" s="2"/>
      <c r="N184" s="2"/>
      <c r="O184" s="2"/>
      <c r="P184" s="2"/>
      <c r="Q184" s="2"/>
    </row>
    <row r="185" spans="11:17" ht="25.5" customHeight="1">
      <c r="K185" s="2"/>
      <c r="L185" s="2"/>
      <c r="M185" s="2"/>
      <c r="N185" s="2"/>
      <c r="O185" s="2"/>
      <c r="P185" s="2"/>
      <c r="Q185" s="2"/>
    </row>
    <row r="186" spans="11:17" ht="18" customHeight="1">
      <c r="K186" s="2"/>
      <c r="L186" s="2"/>
      <c r="M186" s="2"/>
      <c r="N186" s="2"/>
      <c r="O186" s="2"/>
      <c r="P186" s="2"/>
      <c r="Q186" s="2"/>
    </row>
    <row r="187" spans="11:17" ht="20.45" customHeight="1">
      <c r="K187" s="2"/>
      <c r="L187" s="2"/>
      <c r="M187" s="2"/>
      <c r="N187" s="2"/>
      <c r="O187" s="2"/>
      <c r="P187" s="2"/>
      <c r="Q187" s="2"/>
    </row>
    <row r="188" spans="11:17">
      <c r="K188" s="2"/>
      <c r="L188" s="2"/>
      <c r="M188" s="2"/>
      <c r="N188" s="2"/>
      <c r="O188" s="2"/>
      <c r="P188" s="2"/>
      <c r="Q188" s="2"/>
    </row>
    <row r="189" spans="11:17" ht="25.5" customHeight="1">
      <c r="K189" s="2"/>
      <c r="L189" s="2"/>
      <c r="M189" s="2"/>
      <c r="N189" s="2"/>
      <c r="O189" s="2"/>
      <c r="P189" s="2"/>
      <c r="Q189" s="2"/>
    </row>
    <row r="190" spans="11:17" ht="25.5" customHeight="1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>
      <c r="K192" s="2"/>
      <c r="L192" s="2"/>
      <c r="M192" s="2"/>
      <c r="N192" s="2"/>
      <c r="O192" s="2"/>
      <c r="P192" s="2"/>
      <c r="Q192" s="2"/>
    </row>
    <row r="194" spans="11:17">
      <c r="K194" s="2"/>
      <c r="L194" s="2"/>
      <c r="M194" s="2"/>
      <c r="N194" s="2"/>
      <c r="O194" s="2"/>
      <c r="P194" s="2"/>
      <c r="Q194" s="2"/>
    </row>
    <row r="195" spans="11:17">
      <c r="K195" s="2"/>
      <c r="L195" s="2"/>
      <c r="M195" s="2"/>
      <c r="N195" s="2"/>
      <c r="O195" s="2"/>
      <c r="P195" s="2"/>
      <c r="Q195" s="2"/>
    </row>
    <row r="196" spans="11:17">
      <c r="K196" s="2"/>
      <c r="L196" s="2"/>
      <c r="M196" s="2"/>
      <c r="N196" s="2"/>
      <c r="O196" s="2"/>
      <c r="P196" s="2"/>
      <c r="Q196" s="2"/>
    </row>
  </sheetData>
  <mergeCells count="124">
    <mergeCell ref="O145:P145"/>
    <mergeCell ref="P147:Q147"/>
    <mergeCell ref="F147:G147"/>
    <mergeCell ref="M145:N145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H48:I48"/>
    <mergeCell ref="J48:J49"/>
    <mergeCell ref="K48:K49"/>
    <mergeCell ref="L48:L49"/>
    <mergeCell ref="M48:M49"/>
    <mergeCell ref="N48:O48"/>
    <mergeCell ref="P48:P49"/>
    <mergeCell ref="B114:B116"/>
    <mergeCell ref="C114:C116"/>
    <mergeCell ref="D114:D116"/>
    <mergeCell ref="E114:E116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F47:J47"/>
    <mergeCell ref="K47:P47"/>
    <mergeCell ref="D70:D72"/>
    <mergeCell ref="E70:E72"/>
    <mergeCell ref="F70:J70"/>
    <mergeCell ref="K70:P70"/>
    <mergeCell ref="F48:F49"/>
    <mergeCell ref="G48:G49"/>
    <mergeCell ref="N31:O31"/>
    <mergeCell ref="Q114:Q116"/>
    <mergeCell ref="F115:F116"/>
    <mergeCell ref="G115:G116"/>
    <mergeCell ref="H115:I115"/>
    <mergeCell ref="J115:J116"/>
    <mergeCell ref="K115:K116"/>
    <mergeCell ref="L115:L116"/>
    <mergeCell ref="M115:M116"/>
    <mergeCell ref="N115:O115"/>
    <mergeCell ref="P115:P116"/>
    <mergeCell ref="F114:J114"/>
    <mergeCell ref="K114:P114"/>
    <mergeCell ref="B118:B120"/>
    <mergeCell ref="C118:C120"/>
    <mergeCell ref="D118:D120"/>
    <mergeCell ref="E118:E120"/>
    <mergeCell ref="F118:J118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4:M144"/>
    <mergeCell ref="K118:P118"/>
    <mergeCell ref="Q118:Q120"/>
    <mergeCell ref="F119:F120"/>
    <mergeCell ref="G119:G120"/>
    <mergeCell ref="H119:I119"/>
    <mergeCell ref="J119:J120"/>
    <mergeCell ref="K119:K120"/>
    <mergeCell ref="L119:L120"/>
    <mergeCell ref="M119:M120"/>
    <mergeCell ref="N119:O119"/>
    <mergeCell ref="P119:P120"/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</mergeCells>
  <pageMargins left="0.7" right="0.7" top="0.75" bottom="0.75" header="0.3" footer="0.3"/>
  <pageSetup paperSize="9" scale="66" orientation="landscape" r:id="rId1"/>
  <rowBreaks count="5" manualBreakCount="5">
    <brk id="26" min="1" max="18" man="1"/>
    <brk id="46" min="1" max="18" man="1"/>
    <brk id="69" min="1" max="18" man="1"/>
    <brk id="91" min="1" max="18" man="1"/>
    <brk id="117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2021-11-16T13:44:02Z</dcterms:modified>
</cp:coreProperties>
</file>