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105" yWindow="-195" windowWidth="22395" windowHeight="10410" tabRatio="726"/>
  </bookViews>
  <sheets>
    <sheet name="додаток 3" sheetId="3" r:id="rId1"/>
    <sheet name="Лист2" sheetId="10" r:id="rId2"/>
  </sheets>
  <definedNames>
    <definedName name="_xlnm.Print_Area" localSheetId="0">'додаток 3'!$B$1:$Q$143</definedName>
  </definedNames>
  <calcPr calcId="145621"/>
</workbook>
</file>

<file path=xl/calcChain.xml><?xml version="1.0" encoding="utf-8"?>
<calcChain xmlns="http://schemas.openxmlformats.org/spreadsheetml/2006/main">
  <c r="G15" i="3" l="1"/>
  <c r="L15" i="3"/>
  <c r="G84" i="3" l="1"/>
  <c r="L100" i="3"/>
  <c r="M100" i="3"/>
  <c r="N100" i="3"/>
  <c r="O100" i="3"/>
  <c r="P100" i="3"/>
  <c r="K100" i="3"/>
  <c r="F100" i="3"/>
  <c r="G100" i="3"/>
  <c r="H100" i="3"/>
  <c r="I100" i="3"/>
  <c r="J100" i="3"/>
  <c r="H39" i="3" l="1"/>
  <c r="I39" i="3"/>
  <c r="H38" i="3"/>
  <c r="I38" i="3"/>
  <c r="H84" i="3"/>
  <c r="I84" i="3"/>
  <c r="I15" i="3"/>
  <c r="H15" i="3"/>
  <c r="G54" i="3"/>
  <c r="G98" i="3"/>
  <c r="G88" i="3"/>
  <c r="G86" i="3"/>
  <c r="H86" i="3"/>
  <c r="I86" i="3"/>
  <c r="G18" i="3"/>
  <c r="I18" i="3"/>
  <c r="G21" i="3"/>
  <c r="H21" i="3"/>
  <c r="I21" i="3"/>
  <c r="G99" i="3"/>
  <c r="I99" i="3"/>
  <c r="G135" i="3"/>
  <c r="H135" i="3"/>
  <c r="L109" i="3"/>
  <c r="P106" i="3"/>
  <c r="K106" i="3"/>
  <c r="Q106" i="3" s="1"/>
  <c r="F106" i="3"/>
  <c r="P148" i="3" l="1"/>
  <c r="G146" i="3" l="1"/>
  <c r="G141" i="3" l="1"/>
  <c r="G140" i="3"/>
  <c r="G36" i="3"/>
  <c r="G74" i="3"/>
  <c r="L36" i="3"/>
  <c r="G102" i="3" l="1"/>
  <c r="G77" i="3"/>
  <c r="H18" i="3"/>
  <c r="H80" i="3"/>
  <c r="L145" i="3" l="1"/>
  <c r="M123" i="3" l="1"/>
  <c r="H20" i="3" l="1"/>
  <c r="J20" i="3"/>
  <c r="L20" i="3"/>
  <c r="N20" i="3"/>
  <c r="O20" i="3"/>
  <c r="I20" i="3" l="1"/>
  <c r="L107" i="3" l="1"/>
  <c r="F137" i="3" l="1"/>
  <c r="H43" i="3" l="1"/>
  <c r="L140" i="3"/>
  <c r="L99" i="3"/>
  <c r="G80" i="3"/>
  <c r="K109" i="3"/>
  <c r="P109" i="3"/>
  <c r="Q109" i="3" l="1"/>
  <c r="P140" i="3"/>
  <c r="K140" i="3"/>
  <c r="G43" i="3"/>
  <c r="G79" i="3" l="1"/>
  <c r="K86" i="3" l="1"/>
  <c r="L112" i="3" l="1"/>
  <c r="G58" i="3"/>
  <c r="F111" i="3"/>
  <c r="Q111" i="3" s="1"/>
  <c r="I135" i="3" l="1"/>
  <c r="G96" i="3" l="1"/>
  <c r="G59" i="3" l="1"/>
  <c r="H45" i="3" l="1"/>
  <c r="K41" i="3"/>
  <c r="P41" i="3"/>
  <c r="G110" i="3" l="1"/>
  <c r="M108" i="3"/>
  <c r="N108" i="3"/>
  <c r="O108" i="3"/>
  <c r="P108" i="3"/>
  <c r="K107" i="3"/>
  <c r="K108" i="3"/>
  <c r="Q108" i="3" s="1"/>
  <c r="G45" i="3"/>
  <c r="F43" i="3"/>
  <c r="F41" i="3"/>
  <c r="Q41" i="3" s="1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P107" i="3"/>
  <c r="F107" i="3"/>
  <c r="Q107" i="3" s="1"/>
  <c r="Q42" i="3" l="1"/>
  <c r="P105" i="3"/>
  <c r="G82" i="3" l="1"/>
  <c r="F105" i="3"/>
  <c r="K105" i="3"/>
  <c r="P101" i="3"/>
  <c r="O101" i="3"/>
  <c r="N101" i="3"/>
  <c r="M101" i="3"/>
  <c r="J101" i="3"/>
  <c r="I101" i="3"/>
  <c r="H101" i="3"/>
  <c r="F101" i="3"/>
  <c r="Q105" i="3" l="1"/>
  <c r="P15" i="3" l="1"/>
  <c r="P36" i="3"/>
  <c r="P86" i="3"/>
  <c r="G39" i="3" l="1"/>
  <c r="H19" i="3" l="1"/>
  <c r="G38" i="3"/>
  <c r="H37" i="3"/>
  <c r="P98" i="3"/>
  <c r="P112" i="3"/>
  <c r="F26" i="3"/>
  <c r="Q26" i="3" s="1"/>
  <c r="G23" i="3"/>
  <c r="F23" i="3" s="1"/>
  <c r="Q23" i="3" s="1"/>
  <c r="M46" i="3"/>
  <c r="M41" i="3" s="1"/>
  <c r="L104" i="3" l="1"/>
  <c r="L101" i="3" s="1"/>
  <c r="G138" i="3"/>
  <c r="H138" i="3"/>
  <c r="I138" i="3"/>
  <c r="J138" i="3"/>
  <c r="L138" i="3"/>
  <c r="M138" i="3"/>
  <c r="N138" i="3"/>
  <c r="O138" i="3"/>
  <c r="P139" i="3"/>
  <c r="P138" i="3" s="1"/>
  <c r="K139" i="3"/>
  <c r="K138" i="3" s="1"/>
  <c r="P135" i="3"/>
  <c r="K135" i="3"/>
  <c r="Q139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3" i="3"/>
  <c r="K112" i="3"/>
  <c r="F112" i="3"/>
  <c r="G90" i="3"/>
  <c r="G89" i="3" s="1"/>
  <c r="H90" i="3"/>
  <c r="H89" i="3" s="1"/>
  <c r="I90" i="3"/>
  <c r="I89" i="3" s="1"/>
  <c r="J90" i="3"/>
  <c r="J89" i="3" s="1"/>
  <c r="K90" i="3"/>
  <c r="K89" i="3" s="1"/>
  <c r="L90" i="3"/>
  <c r="L89" i="3" s="1"/>
  <c r="M90" i="3"/>
  <c r="M89" i="3" s="1"/>
  <c r="N90" i="3"/>
  <c r="N89" i="3" s="1"/>
  <c r="O90" i="3"/>
  <c r="O89" i="3" s="1"/>
  <c r="P90" i="3"/>
  <c r="P89" i="3" s="1"/>
  <c r="F91" i="3"/>
  <c r="Q91" i="3" s="1"/>
  <c r="K98" i="3"/>
  <c r="F113" i="3"/>
  <c r="F141" i="3"/>
  <c r="Q141" i="3" s="1"/>
  <c r="F140" i="3"/>
  <c r="I19" i="3"/>
  <c r="Q140" i="3" l="1"/>
  <c r="Q138" i="3" s="1"/>
  <c r="F138" i="3"/>
  <c r="Q104" i="3"/>
  <c r="K103" i="3"/>
  <c r="Q103" i="3" s="1"/>
  <c r="F36" i="3"/>
  <c r="Q113" i="3"/>
  <c r="Q112" i="3"/>
  <c r="K35" i="3"/>
  <c r="K34" i="3" s="1"/>
  <c r="I134" i="3"/>
  <c r="H17" i="3"/>
  <c r="I17" i="3"/>
  <c r="F35" i="3" l="1"/>
  <c r="F34" i="3" s="1"/>
  <c r="Q36" i="3"/>
  <c r="I37" i="3"/>
  <c r="I14" i="3" l="1"/>
  <c r="J14" i="3"/>
  <c r="L14" i="3"/>
  <c r="M14" i="3"/>
  <c r="N14" i="3"/>
  <c r="O14" i="3"/>
  <c r="P14" i="3"/>
  <c r="K123" i="3"/>
  <c r="K131" i="3"/>
  <c r="M21" i="3" l="1"/>
  <c r="M18" i="3"/>
  <c r="H44" i="3"/>
  <c r="G44" i="3"/>
  <c r="F44" i="3" s="1"/>
  <c r="F45" i="3"/>
  <c r="F102" i="3"/>
  <c r="P136" i="3"/>
  <c r="O136" i="3"/>
  <c r="N136" i="3"/>
  <c r="M136" i="3"/>
  <c r="L136" i="3"/>
  <c r="K136" i="3"/>
  <c r="J136" i="3"/>
  <c r="I136" i="3"/>
  <c r="I133" i="3" s="1"/>
  <c r="H136" i="3"/>
  <c r="G136" i="3"/>
  <c r="F136" i="3"/>
  <c r="Q137" i="3"/>
  <c r="K21" i="3" l="1"/>
  <c r="K20" i="3" s="1"/>
  <c r="M20" i="3"/>
  <c r="Q136" i="3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H16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19" i="3"/>
  <c r="L19" i="3"/>
  <c r="M19" i="3"/>
  <c r="N19" i="3"/>
  <c r="O19" i="3"/>
  <c r="G22" i="3"/>
  <c r="K15" i="3"/>
  <c r="K14" i="3" s="1"/>
  <c r="H14" i="3"/>
  <c r="G14" i="3"/>
  <c r="G20" i="3" l="1"/>
  <c r="G19" i="3" s="1"/>
  <c r="M45" i="3"/>
  <c r="M44" i="3" s="1"/>
  <c r="M39" i="3" s="1"/>
  <c r="M38" i="3" s="1"/>
  <c r="M36" i="3" s="1"/>
  <c r="M35" i="3" s="1"/>
  <c r="M34" i="3" s="1"/>
  <c r="M42" i="3"/>
  <c r="M40" i="3" s="1"/>
  <c r="F78" i="3"/>
  <c r="Q78" i="3" s="1"/>
  <c r="Q69" i="3"/>
  <c r="E79" i="3"/>
  <c r="G56" i="3"/>
  <c r="Q57" i="3"/>
  <c r="M37" i="3" l="1"/>
  <c r="I132" i="3"/>
  <c r="K134" i="3"/>
  <c r="K133" i="3" s="1"/>
  <c r="F135" i="3"/>
  <c r="F134" i="3" s="1"/>
  <c r="F133" i="3" s="1"/>
  <c r="F132" i="3" s="1"/>
  <c r="P134" i="3"/>
  <c r="P133" i="3" s="1"/>
  <c r="O134" i="3"/>
  <c r="O133" i="3" s="1"/>
  <c r="N134" i="3"/>
  <c r="N133" i="3" s="1"/>
  <c r="M134" i="3"/>
  <c r="M133" i="3" s="1"/>
  <c r="L134" i="3"/>
  <c r="L133" i="3" s="1"/>
  <c r="J134" i="3"/>
  <c r="J133" i="3" s="1"/>
  <c r="H134" i="3"/>
  <c r="H133" i="3" s="1"/>
  <c r="G134" i="3"/>
  <c r="G133" i="3" s="1"/>
  <c r="Q131" i="3"/>
  <c r="Q130" i="3" s="1"/>
  <c r="P130" i="3"/>
  <c r="P129" i="3" s="1"/>
  <c r="P128" i="3" s="1"/>
  <c r="O130" i="3"/>
  <c r="O129" i="3" s="1"/>
  <c r="O128" i="3" s="1"/>
  <c r="N130" i="3"/>
  <c r="N129" i="3" s="1"/>
  <c r="N128" i="3" s="1"/>
  <c r="M130" i="3"/>
  <c r="M129" i="3" s="1"/>
  <c r="M128" i="3" s="1"/>
  <c r="L130" i="3"/>
  <c r="L129" i="3" s="1"/>
  <c r="L128" i="3" s="1"/>
  <c r="J130" i="3"/>
  <c r="J129" i="3" s="1"/>
  <c r="J128" i="3" s="1"/>
  <c r="I130" i="3"/>
  <c r="I129" i="3" s="1"/>
  <c r="I128" i="3" s="1"/>
  <c r="H130" i="3"/>
  <c r="H129" i="3" s="1"/>
  <c r="H128" i="3" s="1"/>
  <c r="G130" i="3"/>
  <c r="G129" i="3" s="1"/>
  <c r="G128" i="3" s="1"/>
  <c r="F130" i="3"/>
  <c r="F129" i="3" s="1"/>
  <c r="F128" i="3" s="1"/>
  <c r="F127" i="3"/>
  <c r="Q127" i="3" s="1"/>
  <c r="Q126" i="3" s="1"/>
  <c r="P126" i="3"/>
  <c r="O126" i="3"/>
  <c r="N126" i="3"/>
  <c r="M126" i="3"/>
  <c r="L126" i="3"/>
  <c r="K126" i="3"/>
  <c r="J126" i="3"/>
  <c r="I126" i="3"/>
  <c r="H126" i="3"/>
  <c r="G126" i="3"/>
  <c r="K114" i="3"/>
  <c r="F123" i="3"/>
  <c r="F114" i="3" s="1"/>
  <c r="P114" i="3"/>
  <c r="O114" i="3"/>
  <c r="N114" i="3"/>
  <c r="M114" i="3"/>
  <c r="L114" i="3"/>
  <c r="J114" i="3"/>
  <c r="I114" i="3"/>
  <c r="H114" i="3"/>
  <c r="G114" i="3"/>
  <c r="F110" i="3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5" i="3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P63" i="3"/>
  <c r="O63" i="3"/>
  <c r="N63" i="3"/>
  <c r="M63" i="3"/>
  <c r="L63" i="3"/>
  <c r="L62" i="3" s="1"/>
  <c r="K63" i="3"/>
  <c r="J63" i="3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K19" i="3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K9" i="3"/>
  <c r="Q110" i="3" l="1"/>
  <c r="Q100" i="3"/>
  <c r="F20" i="3"/>
  <c r="Q17" i="3"/>
  <c r="P20" i="3"/>
  <c r="P19" i="3" s="1"/>
  <c r="J62" i="3"/>
  <c r="N62" i="3"/>
  <c r="K62" i="3"/>
  <c r="P62" i="3"/>
  <c r="H62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M13" i="3" s="1"/>
  <c r="O62" i="3"/>
  <c r="Q96" i="3"/>
  <c r="Q90" i="3" s="1"/>
  <c r="Q89" i="3" s="1"/>
  <c r="F90" i="3"/>
  <c r="F89" i="3" s="1"/>
  <c r="M132" i="3"/>
  <c r="O132" i="3"/>
  <c r="K132" i="3"/>
  <c r="I83" i="3"/>
  <c r="H83" i="3"/>
  <c r="Q86" i="3"/>
  <c r="Q85" i="3" s="1"/>
  <c r="O83" i="3"/>
  <c r="Q102" i="3"/>
  <c r="K83" i="3"/>
  <c r="G132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63" i="3"/>
  <c r="Q134" i="3"/>
  <c r="Q133" i="3" s="1"/>
  <c r="Q132" i="3" s="1"/>
  <c r="F126" i="3"/>
  <c r="Q63" i="3"/>
  <c r="Q99" i="3"/>
  <c r="Q97" i="3" s="1"/>
  <c r="Q114" i="3"/>
  <c r="Q123" i="3"/>
  <c r="H132" i="3"/>
  <c r="J132" i="3"/>
  <c r="L132" i="3"/>
  <c r="N132" i="3"/>
  <c r="P132" i="3"/>
  <c r="Q25" i="3"/>
  <c r="Q135" i="3"/>
  <c r="G52" i="3"/>
  <c r="G51" i="3" s="1"/>
  <c r="Q53" i="3"/>
  <c r="Q21" i="3"/>
  <c r="Q18" i="3"/>
  <c r="Q75" i="3"/>
  <c r="Q76" i="3"/>
  <c r="F52" i="3"/>
  <c r="F51" i="3" s="1"/>
  <c r="K130" i="3"/>
  <c r="K129" i="3" s="1"/>
  <c r="K128" i="3" s="1"/>
  <c r="G13" i="3" l="1"/>
  <c r="G12" i="3" s="1"/>
  <c r="G142" i="3" s="1"/>
  <c r="H13" i="3"/>
  <c r="H12" i="3" s="1"/>
  <c r="H142" i="3" s="1"/>
  <c r="M12" i="3"/>
  <c r="M142" i="3" s="1"/>
  <c r="I16" i="3"/>
  <c r="I13" i="3" s="1"/>
  <c r="Q20" i="3"/>
  <c r="L16" i="3"/>
  <c r="L13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42" i="3"/>
  <c r="J40" i="3" s="1"/>
  <c r="K44" i="3"/>
  <c r="K39" i="3" s="1"/>
  <c r="P37" i="3"/>
  <c r="P16" i="3" s="1"/>
  <c r="P13" i="3" s="1"/>
  <c r="F62" i="3"/>
  <c r="Q62" i="3"/>
  <c r="Q87" i="3"/>
  <c r="Q83" i="3" s="1"/>
  <c r="F19" i="3"/>
  <c r="F16" i="3" s="1"/>
  <c r="Q52" i="3"/>
  <c r="Q51" i="3" s="1"/>
  <c r="Q129" i="3"/>
  <c r="Q128" i="3" s="1"/>
  <c r="F13" i="3" l="1"/>
  <c r="I12" i="3"/>
  <c r="I142" i="3" s="1"/>
  <c r="Q19" i="3"/>
  <c r="L12" i="3"/>
  <c r="L142" i="3" s="1"/>
  <c r="J16" i="3"/>
  <c r="O37" i="3"/>
  <c r="O16" i="3" s="1"/>
  <c r="Q44" i="3"/>
  <c r="N37" i="3"/>
  <c r="K40" i="3"/>
  <c r="Q40" i="3" s="1"/>
  <c r="P12" i="3"/>
  <c r="P142" i="3" s="1"/>
  <c r="K38" i="3"/>
  <c r="Q39" i="3"/>
  <c r="P150" i="3" l="1"/>
  <c r="O146" i="3" s="1"/>
  <c r="O13" i="3"/>
  <c r="O12" i="3" s="1"/>
  <c r="O142" i="3" s="1"/>
  <c r="J13" i="3"/>
  <c r="J12" i="3" s="1"/>
  <c r="J142" i="3" s="1"/>
  <c r="N16" i="3"/>
  <c r="F12" i="3"/>
  <c r="F142" i="3" s="1"/>
  <c r="K37" i="3"/>
  <c r="K16" i="3" s="1"/>
  <c r="K13" i="3" s="1"/>
  <c r="Q38" i="3"/>
  <c r="N13" i="3" l="1"/>
  <c r="N12" i="3" s="1"/>
  <c r="N142" i="3" s="1"/>
  <c r="G144" i="3"/>
  <c r="F148" i="3"/>
  <c r="Q37" i="3"/>
  <c r="Q16" i="3" l="1"/>
  <c r="Q13" i="3" s="1"/>
  <c r="K12" i="3"/>
  <c r="K142" i="3" s="1"/>
  <c r="M146" i="3" s="1"/>
  <c r="Q12" i="3" l="1"/>
  <c r="Q142" i="3" l="1"/>
</calcChain>
</file>

<file path=xl/sharedStrings.xml><?xml version="1.0" encoding="utf-8"?>
<sst xmlns="http://schemas.openxmlformats.org/spreadsheetml/2006/main" count="415" uniqueCount="248">
  <si>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</si>
  <si>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</si>
  <si>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</si>
  <si>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</si>
  <si>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</si>
  <si>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</si>
  <si>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</si>
  <si>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</si>
  <si>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</si>
  <si>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</si>
  <si>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</si>
  <si>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</si>
  <si>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</si>
  <si>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</si>
  <si>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</si>
  <si>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</si>
  <si>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</si>
  <si>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</si>
  <si>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</si>
  <si>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</si>
  <si>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</si>
  <si>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</si>
  <si>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</si>
  <si>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</si>
  <si>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</si>
  <si>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</si>
  <si>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</si>
  <si>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</si>
  <si>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</si>
  <si>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</si>
  <si>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</si>
  <si>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</si>
  <si>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</si>
  <si>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</si>
  <si>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</si>
  <si>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</si>
  <si>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</si>
  <si>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</si>
  <si>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</si>
  <si>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</si>
  <si>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</si>
  <si>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</si>
  <si>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</si>
  <si>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</si>
  <si>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</si>
  <si>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</si>
  <si>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</si>
  <si>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</si>
  <si>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</si>
  <si>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</si>
  <si>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</si>
  <si>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</si>
  <si>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</si>
  <si>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</si>
  <si>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</si>
  <si>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</si>
  <si>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</si>
  <si>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</si>
  <si>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</si>
  <si>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</si>
  <si>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</si>
  <si>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</si>
  <si>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</si>
  <si>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</si>
  <si>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</si>
  <si>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</si>
  <si>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</si>
  <si>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</si>
  <si>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</si>
  <si>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</si>
  <si>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</si>
  <si>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</si>
  <si>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</si>
  <si>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</si>
  <si>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</si>
  <si>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</si>
  <si>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</si>
  <si>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</si>
  <si>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</si>
  <si>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</si>
  <si>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</si>
  <si>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</si>
  <si>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</si>
  <si>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</si>
  <si>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</si>
  <si>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</si>
  <si>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</si>
  <si>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</si>
  <si>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</si>
  <si>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</si>
  <si>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</si>
  <si>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</si>
  <si>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</si>
  <si>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</si>
  <si>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</si>
  <si>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</si>
  <si>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</si>
  <si>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</si>
  <si>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</si>
  <si>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</si>
  <si>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</si>
  <si>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</si>
  <si>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</si>
  <si>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</si>
  <si>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</si>
  <si>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</si>
  <si>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</si>
  <si>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</si>
  <si>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</si>
  <si>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</si>
  <si>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</si>
  <si>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</si>
  <si>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</si>
  <si>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</si>
  <si>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</si>
  <si>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</si>
  <si>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</si>
  <si>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</si>
  <si>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</si>
  <si>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</si>
  <si>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</si>
  <si>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</si>
  <si>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</si>
  <si>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</si>
  <si>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</si>
  <si>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</si>
  <si>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</si>
  <si>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</si>
  <si>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</si>
  <si>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</si>
  <si>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</si>
  <si>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</si>
  <si>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</si>
  <si>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</si>
  <si>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</si>
  <si>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</si>
  <si>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</si>
  <si>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</si>
  <si>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</si>
  <si>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</si>
  <si>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</si>
  <si>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</si>
  <si>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</si>
  <si>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</si>
  <si>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</si>
  <si>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</si>
  <si>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</si>
  <si>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</si>
  <si>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</si>
  <si>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</si>
  <si>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</si>
  <si>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</si>
  <si>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</si>
  <si>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</si>
  <si>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</si>
  <si>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</si>
  <si>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</si>
  <si>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</si>
  <si>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</si>
  <si>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</si>
  <si>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</si>
  <si>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</si>
  <si>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</si>
  <si>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</si>
  <si>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</si>
  <si>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</si>
  <si>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</si>
  <si>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</si>
  <si>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</si>
  <si>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7130</t>
  </si>
  <si>
    <t>0217130</t>
  </si>
  <si>
    <t>0421</t>
  </si>
  <si>
    <t>Здійснення заходів із землеустрою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</si>
  <si>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</si>
  <si>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</si>
  <si>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</si>
  <si>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</si>
  <si>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</si>
  <si>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</si>
  <si>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</si>
  <si>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</si>
  <si>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</si>
  <si>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</si>
  <si>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</si>
  <si>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</si>
  <si>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</si>
  <si>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</si>
  <si>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</si>
  <si>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</si>
  <si>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</si>
  <si>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</si>
  <si>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</si>
  <si>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</si>
  <si>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</si>
  <si>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</si>
  <si>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</si>
  <si>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</si>
  <si>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</si>
  <si>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</si>
  <si>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</si>
  <si>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</si>
  <si>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</si>
  <si>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</si>
  <si>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</si>
  <si>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</si>
  <si>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</si>
  <si>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</si>
  <si>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</si>
  <si>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</si>
  <si>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</si>
  <si>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</si>
  <si>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</si>
  <si>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</si>
  <si>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</si>
  <si>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</si>
  <si>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</si>
  <si>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</si>
  <si>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</si>
  <si>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</si>
  <si>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</si>
  <si>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</si>
  <si>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</si>
  <si>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</si>
  <si>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</si>
  <si>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</si>
  <si>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</si>
  <si>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</si>
  <si>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</si>
  <si>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</si>
  <si>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</si>
  <si>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</si>
  <si>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0217622</t>
  </si>
  <si>
    <t>0470</t>
  </si>
  <si>
    <t>Реалізація програм і заходів в галузі туризму та курортівРеалізація програм і заходів в галузі туризму та курортів</t>
  </si>
  <si>
    <t xml:space="preserve">рішення сільської  ради № 4-65/VІII від 22.12.2020
</t>
  </si>
  <si>
    <t>передача до СФ</t>
  </si>
  <si>
    <t>БР дод.2</t>
  </si>
  <si>
    <t>0217370</t>
  </si>
  <si>
    <t>7370</t>
  </si>
  <si>
    <t>Реалізація інших заходів щодо соціально-економічного розвитку територій</t>
  </si>
  <si>
    <t>(85700+47000)</t>
  </si>
  <si>
    <t>БР сф</t>
  </si>
  <si>
    <t>7000</t>
  </si>
  <si>
    <t>ЕКОНГОМІЧНА  ДІЯЛЬНІСТЬ</t>
  </si>
  <si>
    <t>0217330</t>
  </si>
  <si>
    <t>7330</t>
  </si>
  <si>
    <t>Будівництво інших об`єктів комунальної власності</t>
  </si>
  <si>
    <t>(в редакції рішення сільської ради від 30 листопада 2021 р.№ 23-1/VІІІ)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</si>
</sst>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1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i/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82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/>
    <xf numFmtId="4" fontId="20" fillId="0" borderId="3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0" fontId="20" fillId="7" borderId="0" xfId="0" applyFont="1" applyFill="1"/>
    <xf numFmtId="4" fontId="29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2" fillId="4" borderId="0" xfId="0" applyNumberFormat="1" applyFont="1" applyFill="1"/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left" vertical="top" wrapText="1"/>
    </xf>
    <xf numFmtId="4" fontId="29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29" fillId="2" borderId="3" xfId="0" applyNumberFormat="1" applyFont="1" applyFill="1" applyBorder="1" applyAlignment="1" applyProtection="1">
      <alignment horizontal="right" vertical="top" wrapText="1"/>
    </xf>
    <xf numFmtId="0" fontId="29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lef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" fontId="30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" fontId="30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4" fontId="33" fillId="4" borderId="0" xfId="0" applyNumberFormat="1" applyFont="1" applyFill="1"/>
    <xf numFmtId="0" fontId="33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Fill="1"/>
    <xf numFmtId="49" fontId="14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4" fontId="16" fillId="4" borderId="0" xfId="0" applyNumberFormat="1" applyFont="1" applyFill="1"/>
    <xf numFmtId="2" fontId="35" fillId="4" borderId="0" xfId="0" applyNumberFormat="1" applyFont="1" applyFill="1" applyAlignment="1"/>
    <xf numFmtId="2" fontId="36" fillId="4" borderId="0" xfId="0" applyNumberFormat="1" applyFont="1" applyFill="1" applyAlignment="1"/>
    <xf numFmtId="0" fontId="36" fillId="4" borderId="0" xfId="0" applyFont="1" applyFill="1"/>
    <xf numFmtId="164" fontId="16" fillId="4" borderId="0" xfId="0" applyNumberFormat="1" applyFont="1" applyFill="1"/>
    <xf numFmtId="0" fontId="38" fillId="4" borderId="0" xfId="0" applyFont="1" applyFill="1"/>
    <xf numFmtId="0" fontId="40" fillId="0" borderId="0" xfId="0" applyFont="1" applyFill="1" applyBorder="1" applyAlignment="1" applyProtection="1">
      <alignment horizontal="left" vertical="top" wrapText="1"/>
    </xf>
    <xf numFmtId="49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/>
    <xf numFmtId="4" fontId="20" fillId="0" borderId="0" xfId="0" applyNumberFormat="1" applyFont="1" applyFill="1"/>
    <xf numFmtId="49" fontId="29" fillId="0" borderId="3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left" vertical="top" wrapText="1"/>
    </xf>
    <xf numFmtId="4" fontId="37" fillId="4" borderId="0" xfId="0" applyNumberFormat="1" applyFont="1" applyFill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2" fontId="17" fillId="4" borderId="0" xfId="0" applyNumberFormat="1" applyFont="1" applyFill="1" applyAlignment="1">
      <alignment horizontal="center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 applyProtection="1">
      <alignment horizontal="right" vertical="top" wrapText="1"/>
    </xf>
    <xf numFmtId="4" fontId="21" fillId="2" borderId="0" xfId="0" applyNumberFormat="1" applyFont="1" applyFill="1"/>
    <xf numFmtId="0" fontId="21" fillId="2" borderId="0" xfId="0" applyFont="1" applyFill="1"/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tabSelected="1" view="pageBreakPreview" topLeftCell="B135" zoomScaleNormal="120" zoomScaleSheetLayoutView="100" workbookViewId="0">
      <selection activeCell="B135" sqref="A1:XFD1048576"/>
    </sheetView>
  </sheetViews>
  <sheetFormatPr defaultRowHeight="15"/>
  <cols>
    <col min="1" max="1" width="8.85546875" style="2" hidden="1" customWidth="1"/>
    <col min="2" max="2" width="9.140625" style="2" customWidth="1"/>
    <col min="3" max="3" width="10" style="2" customWidth="1"/>
    <col min="4" max="4" width="10.2851562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4.5703125" style="4" bestFit="1" customWidth="1"/>
    <col min="18" max="18" width="15.42578125" style="2" customWidth="1"/>
    <col min="19" max="254" width="9.140625" style="2"/>
    <col min="255" max="255" width="0" style="2" hidden="1" customWidth="1"/>
    <col min="256" max="256" width="6.5703125" style="2" customWidth="1"/>
    <col min="257" max="257" width="0" style="2" hidden="1" customWidth="1"/>
    <col min="258" max="258" width="6.5703125" style="2" customWidth="1"/>
    <col min="259" max="259" width="28.5703125" style="2" customWidth="1"/>
    <col min="260" max="260" width="8" style="2" customWidth="1"/>
    <col min="261" max="261" width="7.7109375" style="2" customWidth="1"/>
    <col min="262" max="262" width="8" style="2" customWidth="1"/>
    <col min="263" max="270" width="7" style="2" customWidth="1"/>
    <col min="271" max="271" width="9.140625" style="2"/>
    <col min="272" max="273" width="0" style="2" hidden="1" customWidth="1"/>
    <col min="274" max="510" width="9.140625" style="2"/>
    <col min="511" max="511" width="0" style="2" hidden="1" customWidth="1"/>
    <col min="512" max="512" width="6.5703125" style="2" customWidth="1"/>
    <col min="513" max="513" width="0" style="2" hidden="1" customWidth="1"/>
    <col min="514" max="514" width="6.5703125" style="2" customWidth="1"/>
    <col min="515" max="515" width="28.5703125" style="2" customWidth="1"/>
    <col min="516" max="516" width="8" style="2" customWidth="1"/>
    <col min="517" max="517" width="7.7109375" style="2" customWidth="1"/>
    <col min="518" max="518" width="8" style="2" customWidth="1"/>
    <col min="519" max="526" width="7" style="2" customWidth="1"/>
    <col min="527" max="527" width="9.140625" style="2"/>
    <col min="528" max="529" width="0" style="2" hidden="1" customWidth="1"/>
    <col min="530" max="766" width="9.140625" style="2"/>
    <col min="767" max="767" width="0" style="2" hidden="1" customWidth="1"/>
    <col min="768" max="768" width="6.5703125" style="2" customWidth="1"/>
    <col min="769" max="769" width="0" style="2" hidden="1" customWidth="1"/>
    <col min="770" max="770" width="6.5703125" style="2" customWidth="1"/>
    <col min="771" max="771" width="28.5703125" style="2" customWidth="1"/>
    <col min="772" max="772" width="8" style="2" customWidth="1"/>
    <col min="773" max="773" width="7.7109375" style="2" customWidth="1"/>
    <col min="774" max="774" width="8" style="2" customWidth="1"/>
    <col min="775" max="782" width="7" style="2" customWidth="1"/>
    <col min="783" max="783" width="9.140625" style="2"/>
    <col min="784" max="785" width="0" style="2" hidden="1" customWidth="1"/>
    <col min="786" max="1022" width="9.140625" style="2"/>
    <col min="1023" max="1023" width="0" style="2" hidden="1" customWidth="1"/>
    <col min="1024" max="1024" width="6.5703125" style="2" customWidth="1"/>
    <col min="1025" max="1025" width="0" style="2" hidden="1" customWidth="1"/>
    <col min="1026" max="1026" width="6.5703125" style="2" customWidth="1"/>
    <col min="1027" max="1027" width="28.5703125" style="2" customWidth="1"/>
    <col min="1028" max="1028" width="8" style="2" customWidth="1"/>
    <col min="1029" max="1029" width="7.7109375" style="2" customWidth="1"/>
    <col min="1030" max="1030" width="8" style="2" customWidth="1"/>
    <col min="1031" max="1038" width="7" style="2" customWidth="1"/>
    <col min="1039" max="1039" width="9.140625" style="2"/>
    <col min="1040" max="1041" width="0" style="2" hidden="1" customWidth="1"/>
    <col min="1042" max="1278" width="9.140625" style="2"/>
    <col min="1279" max="1279" width="0" style="2" hidden="1" customWidth="1"/>
    <col min="1280" max="1280" width="6.5703125" style="2" customWidth="1"/>
    <col min="1281" max="1281" width="0" style="2" hidden="1" customWidth="1"/>
    <col min="1282" max="1282" width="6.5703125" style="2" customWidth="1"/>
    <col min="1283" max="1283" width="28.5703125" style="2" customWidth="1"/>
    <col min="1284" max="1284" width="8" style="2" customWidth="1"/>
    <col min="1285" max="1285" width="7.7109375" style="2" customWidth="1"/>
    <col min="1286" max="1286" width="8" style="2" customWidth="1"/>
    <col min="1287" max="1294" width="7" style="2" customWidth="1"/>
    <col min="1295" max="1295" width="9.140625" style="2"/>
    <col min="1296" max="1297" width="0" style="2" hidden="1" customWidth="1"/>
    <col min="1298" max="1534" width="9.140625" style="2"/>
    <col min="1535" max="1535" width="0" style="2" hidden="1" customWidth="1"/>
    <col min="1536" max="1536" width="6.5703125" style="2" customWidth="1"/>
    <col min="1537" max="1537" width="0" style="2" hidden="1" customWidth="1"/>
    <col min="1538" max="1538" width="6.5703125" style="2" customWidth="1"/>
    <col min="1539" max="1539" width="28.5703125" style="2" customWidth="1"/>
    <col min="1540" max="1540" width="8" style="2" customWidth="1"/>
    <col min="1541" max="1541" width="7.7109375" style="2" customWidth="1"/>
    <col min="1542" max="1542" width="8" style="2" customWidth="1"/>
    <col min="1543" max="1550" width="7" style="2" customWidth="1"/>
    <col min="1551" max="1551" width="9.140625" style="2"/>
    <col min="1552" max="1553" width="0" style="2" hidden="1" customWidth="1"/>
    <col min="1554" max="1790" width="9.140625" style="2"/>
    <col min="1791" max="1791" width="0" style="2" hidden="1" customWidth="1"/>
    <col min="1792" max="1792" width="6.5703125" style="2" customWidth="1"/>
    <col min="1793" max="1793" width="0" style="2" hidden="1" customWidth="1"/>
    <col min="1794" max="1794" width="6.5703125" style="2" customWidth="1"/>
    <col min="1795" max="1795" width="28.5703125" style="2" customWidth="1"/>
    <col min="1796" max="1796" width="8" style="2" customWidth="1"/>
    <col min="1797" max="1797" width="7.7109375" style="2" customWidth="1"/>
    <col min="1798" max="1798" width="8" style="2" customWidth="1"/>
    <col min="1799" max="1806" width="7" style="2" customWidth="1"/>
    <col min="1807" max="1807" width="9.140625" style="2"/>
    <col min="1808" max="1809" width="0" style="2" hidden="1" customWidth="1"/>
    <col min="1810" max="2046" width="9.140625" style="2"/>
    <col min="2047" max="2047" width="0" style="2" hidden="1" customWidth="1"/>
    <col min="2048" max="2048" width="6.5703125" style="2" customWidth="1"/>
    <col min="2049" max="2049" width="0" style="2" hidden="1" customWidth="1"/>
    <col min="2050" max="2050" width="6.5703125" style="2" customWidth="1"/>
    <col min="2051" max="2051" width="28.5703125" style="2" customWidth="1"/>
    <col min="2052" max="2052" width="8" style="2" customWidth="1"/>
    <col min="2053" max="2053" width="7.7109375" style="2" customWidth="1"/>
    <col min="2054" max="2054" width="8" style="2" customWidth="1"/>
    <col min="2055" max="2062" width="7" style="2" customWidth="1"/>
    <col min="2063" max="2063" width="9.140625" style="2"/>
    <col min="2064" max="2065" width="0" style="2" hidden="1" customWidth="1"/>
    <col min="2066" max="2302" width="9.140625" style="2"/>
    <col min="2303" max="2303" width="0" style="2" hidden="1" customWidth="1"/>
    <col min="2304" max="2304" width="6.5703125" style="2" customWidth="1"/>
    <col min="2305" max="2305" width="0" style="2" hidden="1" customWidth="1"/>
    <col min="2306" max="2306" width="6.5703125" style="2" customWidth="1"/>
    <col min="2307" max="2307" width="28.5703125" style="2" customWidth="1"/>
    <col min="2308" max="2308" width="8" style="2" customWidth="1"/>
    <col min="2309" max="2309" width="7.7109375" style="2" customWidth="1"/>
    <col min="2310" max="2310" width="8" style="2" customWidth="1"/>
    <col min="2311" max="2318" width="7" style="2" customWidth="1"/>
    <col min="2319" max="2319" width="9.140625" style="2"/>
    <col min="2320" max="2321" width="0" style="2" hidden="1" customWidth="1"/>
    <col min="2322" max="2558" width="9.140625" style="2"/>
    <col min="2559" max="2559" width="0" style="2" hidden="1" customWidth="1"/>
    <col min="2560" max="2560" width="6.5703125" style="2" customWidth="1"/>
    <col min="2561" max="2561" width="0" style="2" hidden="1" customWidth="1"/>
    <col min="2562" max="2562" width="6.5703125" style="2" customWidth="1"/>
    <col min="2563" max="2563" width="28.5703125" style="2" customWidth="1"/>
    <col min="2564" max="2564" width="8" style="2" customWidth="1"/>
    <col min="2565" max="2565" width="7.7109375" style="2" customWidth="1"/>
    <col min="2566" max="2566" width="8" style="2" customWidth="1"/>
    <col min="2567" max="2574" width="7" style="2" customWidth="1"/>
    <col min="2575" max="2575" width="9.140625" style="2"/>
    <col min="2576" max="2577" width="0" style="2" hidden="1" customWidth="1"/>
    <col min="2578" max="2814" width="9.140625" style="2"/>
    <col min="2815" max="2815" width="0" style="2" hidden="1" customWidth="1"/>
    <col min="2816" max="2816" width="6.5703125" style="2" customWidth="1"/>
    <col min="2817" max="2817" width="0" style="2" hidden="1" customWidth="1"/>
    <col min="2818" max="2818" width="6.5703125" style="2" customWidth="1"/>
    <col min="2819" max="2819" width="28.5703125" style="2" customWidth="1"/>
    <col min="2820" max="2820" width="8" style="2" customWidth="1"/>
    <col min="2821" max="2821" width="7.7109375" style="2" customWidth="1"/>
    <col min="2822" max="2822" width="8" style="2" customWidth="1"/>
    <col min="2823" max="2830" width="7" style="2" customWidth="1"/>
    <col min="2831" max="2831" width="9.140625" style="2"/>
    <col min="2832" max="2833" width="0" style="2" hidden="1" customWidth="1"/>
    <col min="2834" max="3070" width="9.140625" style="2"/>
    <col min="3071" max="3071" width="0" style="2" hidden="1" customWidth="1"/>
    <col min="3072" max="3072" width="6.5703125" style="2" customWidth="1"/>
    <col min="3073" max="3073" width="0" style="2" hidden="1" customWidth="1"/>
    <col min="3074" max="3074" width="6.5703125" style="2" customWidth="1"/>
    <col min="3075" max="3075" width="28.5703125" style="2" customWidth="1"/>
    <col min="3076" max="3076" width="8" style="2" customWidth="1"/>
    <col min="3077" max="3077" width="7.7109375" style="2" customWidth="1"/>
    <col min="3078" max="3078" width="8" style="2" customWidth="1"/>
    <col min="3079" max="3086" width="7" style="2" customWidth="1"/>
    <col min="3087" max="3087" width="9.140625" style="2"/>
    <col min="3088" max="3089" width="0" style="2" hidden="1" customWidth="1"/>
    <col min="3090" max="3326" width="9.140625" style="2"/>
    <col min="3327" max="3327" width="0" style="2" hidden="1" customWidth="1"/>
    <col min="3328" max="3328" width="6.5703125" style="2" customWidth="1"/>
    <col min="3329" max="3329" width="0" style="2" hidden="1" customWidth="1"/>
    <col min="3330" max="3330" width="6.5703125" style="2" customWidth="1"/>
    <col min="3331" max="3331" width="28.5703125" style="2" customWidth="1"/>
    <col min="3332" max="3332" width="8" style="2" customWidth="1"/>
    <col min="3333" max="3333" width="7.7109375" style="2" customWidth="1"/>
    <col min="3334" max="3334" width="8" style="2" customWidth="1"/>
    <col min="3335" max="3342" width="7" style="2" customWidth="1"/>
    <col min="3343" max="3343" width="9.140625" style="2"/>
    <col min="3344" max="3345" width="0" style="2" hidden="1" customWidth="1"/>
    <col min="3346" max="3582" width="9.140625" style="2"/>
    <col min="3583" max="3583" width="0" style="2" hidden="1" customWidth="1"/>
    <col min="3584" max="3584" width="6.5703125" style="2" customWidth="1"/>
    <col min="3585" max="3585" width="0" style="2" hidden="1" customWidth="1"/>
    <col min="3586" max="3586" width="6.5703125" style="2" customWidth="1"/>
    <col min="3587" max="3587" width="28.5703125" style="2" customWidth="1"/>
    <col min="3588" max="3588" width="8" style="2" customWidth="1"/>
    <col min="3589" max="3589" width="7.7109375" style="2" customWidth="1"/>
    <col min="3590" max="3590" width="8" style="2" customWidth="1"/>
    <col min="3591" max="3598" width="7" style="2" customWidth="1"/>
    <col min="3599" max="3599" width="9.140625" style="2"/>
    <col min="3600" max="3601" width="0" style="2" hidden="1" customWidth="1"/>
    <col min="3602" max="3838" width="9.140625" style="2"/>
    <col min="3839" max="3839" width="0" style="2" hidden="1" customWidth="1"/>
    <col min="3840" max="3840" width="6.5703125" style="2" customWidth="1"/>
    <col min="3841" max="3841" width="0" style="2" hidden="1" customWidth="1"/>
    <col min="3842" max="3842" width="6.5703125" style="2" customWidth="1"/>
    <col min="3843" max="3843" width="28.5703125" style="2" customWidth="1"/>
    <col min="3844" max="3844" width="8" style="2" customWidth="1"/>
    <col min="3845" max="3845" width="7.7109375" style="2" customWidth="1"/>
    <col min="3846" max="3846" width="8" style="2" customWidth="1"/>
    <col min="3847" max="3854" width="7" style="2" customWidth="1"/>
    <col min="3855" max="3855" width="9.140625" style="2"/>
    <col min="3856" max="3857" width="0" style="2" hidden="1" customWidth="1"/>
    <col min="3858" max="4094" width="9.140625" style="2"/>
    <col min="4095" max="4095" width="0" style="2" hidden="1" customWidth="1"/>
    <col min="4096" max="4096" width="6.5703125" style="2" customWidth="1"/>
    <col min="4097" max="4097" width="0" style="2" hidden="1" customWidth="1"/>
    <col min="4098" max="4098" width="6.5703125" style="2" customWidth="1"/>
    <col min="4099" max="4099" width="28.5703125" style="2" customWidth="1"/>
    <col min="4100" max="4100" width="8" style="2" customWidth="1"/>
    <col min="4101" max="4101" width="7.7109375" style="2" customWidth="1"/>
    <col min="4102" max="4102" width="8" style="2" customWidth="1"/>
    <col min="4103" max="4110" width="7" style="2" customWidth="1"/>
    <col min="4111" max="4111" width="9.140625" style="2"/>
    <col min="4112" max="4113" width="0" style="2" hidden="1" customWidth="1"/>
    <col min="4114" max="4350" width="9.140625" style="2"/>
    <col min="4351" max="4351" width="0" style="2" hidden="1" customWidth="1"/>
    <col min="4352" max="4352" width="6.5703125" style="2" customWidth="1"/>
    <col min="4353" max="4353" width="0" style="2" hidden="1" customWidth="1"/>
    <col min="4354" max="4354" width="6.5703125" style="2" customWidth="1"/>
    <col min="4355" max="4355" width="28.5703125" style="2" customWidth="1"/>
    <col min="4356" max="4356" width="8" style="2" customWidth="1"/>
    <col min="4357" max="4357" width="7.7109375" style="2" customWidth="1"/>
    <col min="4358" max="4358" width="8" style="2" customWidth="1"/>
    <col min="4359" max="4366" width="7" style="2" customWidth="1"/>
    <col min="4367" max="4367" width="9.140625" style="2"/>
    <col min="4368" max="4369" width="0" style="2" hidden="1" customWidth="1"/>
    <col min="4370" max="4606" width="9.140625" style="2"/>
    <col min="4607" max="4607" width="0" style="2" hidden="1" customWidth="1"/>
    <col min="4608" max="4608" width="6.5703125" style="2" customWidth="1"/>
    <col min="4609" max="4609" width="0" style="2" hidden="1" customWidth="1"/>
    <col min="4610" max="4610" width="6.5703125" style="2" customWidth="1"/>
    <col min="4611" max="4611" width="28.5703125" style="2" customWidth="1"/>
    <col min="4612" max="4612" width="8" style="2" customWidth="1"/>
    <col min="4613" max="4613" width="7.7109375" style="2" customWidth="1"/>
    <col min="4614" max="4614" width="8" style="2" customWidth="1"/>
    <col min="4615" max="4622" width="7" style="2" customWidth="1"/>
    <col min="4623" max="4623" width="9.140625" style="2"/>
    <col min="4624" max="4625" width="0" style="2" hidden="1" customWidth="1"/>
    <col min="4626" max="4862" width="9.140625" style="2"/>
    <col min="4863" max="4863" width="0" style="2" hidden="1" customWidth="1"/>
    <col min="4864" max="4864" width="6.5703125" style="2" customWidth="1"/>
    <col min="4865" max="4865" width="0" style="2" hidden="1" customWidth="1"/>
    <col min="4866" max="4866" width="6.5703125" style="2" customWidth="1"/>
    <col min="4867" max="4867" width="28.5703125" style="2" customWidth="1"/>
    <col min="4868" max="4868" width="8" style="2" customWidth="1"/>
    <col min="4869" max="4869" width="7.7109375" style="2" customWidth="1"/>
    <col min="4870" max="4870" width="8" style="2" customWidth="1"/>
    <col min="4871" max="4878" width="7" style="2" customWidth="1"/>
    <col min="4879" max="4879" width="9.140625" style="2"/>
    <col min="4880" max="4881" width="0" style="2" hidden="1" customWidth="1"/>
    <col min="4882" max="5118" width="9.140625" style="2"/>
    <col min="5119" max="5119" width="0" style="2" hidden="1" customWidth="1"/>
    <col min="5120" max="5120" width="6.5703125" style="2" customWidth="1"/>
    <col min="5121" max="5121" width="0" style="2" hidden="1" customWidth="1"/>
    <col min="5122" max="5122" width="6.5703125" style="2" customWidth="1"/>
    <col min="5123" max="5123" width="28.5703125" style="2" customWidth="1"/>
    <col min="5124" max="5124" width="8" style="2" customWidth="1"/>
    <col min="5125" max="5125" width="7.7109375" style="2" customWidth="1"/>
    <col min="5126" max="5126" width="8" style="2" customWidth="1"/>
    <col min="5127" max="5134" width="7" style="2" customWidth="1"/>
    <col min="5135" max="5135" width="9.140625" style="2"/>
    <col min="5136" max="5137" width="0" style="2" hidden="1" customWidth="1"/>
    <col min="5138" max="5374" width="9.140625" style="2"/>
    <col min="5375" max="5375" width="0" style="2" hidden="1" customWidth="1"/>
    <col min="5376" max="5376" width="6.5703125" style="2" customWidth="1"/>
    <col min="5377" max="5377" width="0" style="2" hidden="1" customWidth="1"/>
    <col min="5378" max="5378" width="6.5703125" style="2" customWidth="1"/>
    <col min="5379" max="5379" width="28.5703125" style="2" customWidth="1"/>
    <col min="5380" max="5380" width="8" style="2" customWidth="1"/>
    <col min="5381" max="5381" width="7.7109375" style="2" customWidth="1"/>
    <col min="5382" max="5382" width="8" style="2" customWidth="1"/>
    <col min="5383" max="5390" width="7" style="2" customWidth="1"/>
    <col min="5391" max="5391" width="9.140625" style="2"/>
    <col min="5392" max="5393" width="0" style="2" hidden="1" customWidth="1"/>
    <col min="5394" max="5630" width="9.140625" style="2"/>
    <col min="5631" max="5631" width="0" style="2" hidden="1" customWidth="1"/>
    <col min="5632" max="5632" width="6.5703125" style="2" customWidth="1"/>
    <col min="5633" max="5633" width="0" style="2" hidden="1" customWidth="1"/>
    <col min="5634" max="5634" width="6.5703125" style="2" customWidth="1"/>
    <col min="5635" max="5635" width="28.5703125" style="2" customWidth="1"/>
    <col min="5636" max="5636" width="8" style="2" customWidth="1"/>
    <col min="5637" max="5637" width="7.7109375" style="2" customWidth="1"/>
    <col min="5638" max="5638" width="8" style="2" customWidth="1"/>
    <col min="5639" max="5646" width="7" style="2" customWidth="1"/>
    <col min="5647" max="5647" width="9.140625" style="2"/>
    <col min="5648" max="5649" width="0" style="2" hidden="1" customWidth="1"/>
    <col min="5650" max="5886" width="9.140625" style="2"/>
    <col min="5887" max="5887" width="0" style="2" hidden="1" customWidth="1"/>
    <col min="5888" max="5888" width="6.5703125" style="2" customWidth="1"/>
    <col min="5889" max="5889" width="0" style="2" hidden="1" customWidth="1"/>
    <col min="5890" max="5890" width="6.5703125" style="2" customWidth="1"/>
    <col min="5891" max="5891" width="28.5703125" style="2" customWidth="1"/>
    <col min="5892" max="5892" width="8" style="2" customWidth="1"/>
    <col min="5893" max="5893" width="7.7109375" style="2" customWidth="1"/>
    <col min="5894" max="5894" width="8" style="2" customWidth="1"/>
    <col min="5895" max="5902" width="7" style="2" customWidth="1"/>
    <col min="5903" max="5903" width="9.140625" style="2"/>
    <col min="5904" max="5905" width="0" style="2" hidden="1" customWidth="1"/>
    <col min="5906" max="6142" width="9.140625" style="2"/>
    <col min="6143" max="6143" width="0" style="2" hidden="1" customWidth="1"/>
    <col min="6144" max="6144" width="6.5703125" style="2" customWidth="1"/>
    <col min="6145" max="6145" width="0" style="2" hidden="1" customWidth="1"/>
    <col min="6146" max="6146" width="6.5703125" style="2" customWidth="1"/>
    <col min="6147" max="6147" width="28.5703125" style="2" customWidth="1"/>
    <col min="6148" max="6148" width="8" style="2" customWidth="1"/>
    <col min="6149" max="6149" width="7.7109375" style="2" customWidth="1"/>
    <col min="6150" max="6150" width="8" style="2" customWidth="1"/>
    <col min="6151" max="6158" width="7" style="2" customWidth="1"/>
    <col min="6159" max="6159" width="9.140625" style="2"/>
    <col min="6160" max="6161" width="0" style="2" hidden="1" customWidth="1"/>
    <col min="6162" max="6398" width="9.140625" style="2"/>
    <col min="6399" max="6399" width="0" style="2" hidden="1" customWidth="1"/>
    <col min="6400" max="6400" width="6.5703125" style="2" customWidth="1"/>
    <col min="6401" max="6401" width="0" style="2" hidden="1" customWidth="1"/>
    <col min="6402" max="6402" width="6.5703125" style="2" customWidth="1"/>
    <col min="6403" max="6403" width="28.5703125" style="2" customWidth="1"/>
    <col min="6404" max="6404" width="8" style="2" customWidth="1"/>
    <col min="6405" max="6405" width="7.7109375" style="2" customWidth="1"/>
    <col min="6406" max="6406" width="8" style="2" customWidth="1"/>
    <col min="6407" max="6414" width="7" style="2" customWidth="1"/>
    <col min="6415" max="6415" width="9.140625" style="2"/>
    <col min="6416" max="6417" width="0" style="2" hidden="1" customWidth="1"/>
    <col min="6418" max="6654" width="9.140625" style="2"/>
    <col min="6655" max="6655" width="0" style="2" hidden="1" customWidth="1"/>
    <col min="6656" max="6656" width="6.5703125" style="2" customWidth="1"/>
    <col min="6657" max="6657" width="0" style="2" hidden="1" customWidth="1"/>
    <col min="6658" max="6658" width="6.5703125" style="2" customWidth="1"/>
    <col min="6659" max="6659" width="28.5703125" style="2" customWidth="1"/>
    <col min="6660" max="6660" width="8" style="2" customWidth="1"/>
    <col min="6661" max="6661" width="7.7109375" style="2" customWidth="1"/>
    <col min="6662" max="6662" width="8" style="2" customWidth="1"/>
    <col min="6663" max="6670" width="7" style="2" customWidth="1"/>
    <col min="6671" max="6671" width="9.140625" style="2"/>
    <col min="6672" max="6673" width="0" style="2" hidden="1" customWidth="1"/>
    <col min="6674" max="6910" width="9.140625" style="2"/>
    <col min="6911" max="6911" width="0" style="2" hidden="1" customWidth="1"/>
    <col min="6912" max="6912" width="6.5703125" style="2" customWidth="1"/>
    <col min="6913" max="6913" width="0" style="2" hidden="1" customWidth="1"/>
    <col min="6914" max="6914" width="6.5703125" style="2" customWidth="1"/>
    <col min="6915" max="6915" width="28.5703125" style="2" customWidth="1"/>
    <col min="6916" max="6916" width="8" style="2" customWidth="1"/>
    <col min="6917" max="6917" width="7.7109375" style="2" customWidth="1"/>
    <col min="6918" max="6918" width="8" style="2" customWidth="1"/>
    <col min="6919" max="6926" width="7" style="2" customWidth="1"/>
    <col min="6927" max="6927" width="9.140625" style="2"/>
    <col min="6928" max="6929" width="0" style="2" hidden="1" customWidth="1"/>
    <col min="6930" max="7166" width="9.140625" style="2"/>
    <col min="7167" max="7167" width="0" style="2" hidden="1" customWidth="1"/>
    <col min="7168" max="7168" width="6.5703125" style="2" customWidth="1"/>
    <col min="7169" max="7169" width="0" style="2" hidden="1" customWidth="1"/>
    <col min="7170" max="7170" width="6.5703125" style="2" customWidth="1"/>
    <col min="7171" max="7171" width="28.5703125" style="2" customWidth="1"/>
    <col min="7172" max="7172" width="8" style="2" customWidth="1"/>
    <col min="7173" max="7173" width="7.7109375" style="2" customWidth="1"/>
    <col min="7174" max="7174" width="8" style="2" customWidth="1"/>
    <col min="7175" max="7182" width="7" style="2" customWidth="1"/>
    <col min="7183" max="7183" width="9.140625" style="2"/>
    <col min="7184" max="7185" width="0" style="2" hidden="1" customWidth="1"/>
    <col min="7186" max="7422" width="9.140625" style="2"/>
    <col min="7423" max="7423" width="0" style="2" hidden="1" customWidth="1"/>
    <col min="7424" max="7424" width="6.5703125" style="2" customWidth="1"/>
    <col min="7425" max="7425" width="0" style="2" hidden="1" customWidth="1"/>
    <col min="7426" max="7426" width="6.5703125" style="2" customWidth="1"/>
    <col min="7427" max="7427" width="28.5703125" style="2" customWidth="1"/>
    <col min="7428" max="7428" width="8" style="2" customWidth="1"/>
    <col min="7429" max="7429" width="7.7109375" style="2" customWidth="1"/>
    <col min="7430" max="7430" width="8" style="2" customWidth="1"/>
    <col min="7431" max="7438" width="7" style="2" customWidth="1"/>
    <col min="7439" max="7439" width="9.140625" style="2"/>
    <col min="7440" max="7441" width="0" style="2" hidden="1" customWidth="1"/>
    <col min="7442" max="7678" width="9.140625" style="2"/>
    <col min="7679" max="7679" width="0" style="2" hidden="1" customWidth="1"/>
    <col min="7680" max="7680" width="6.5703125" style="2" customWidth="1"/>
    <col min="7681" max="7681" width="0" style="2" hidden="1" customWidth="1"/>
    <col min="7682" max="7682" width="6.5703125" style="2" customWidth="1"/>
    <col min="7683" max="7683" width="28.5703125" style="2" customWidth="1"/>
    <col min="7684" max="7684" width="8" style="2" customWidth="1"/>
    <col min="7685" max="7685" width="7.7109375" style="2" customWidth="1"/>
    <col min="7686" max="7686" width="8" style="2" customWidth="1"/>
    <col min="7687" max="7694" width="7" style="2" customWidth="1"/>
    <col min="7695" max="7695" width="9.140625" style="2"/>
    <col min="7696" max="7697" width="0" style="2" hidden="1" customWidth="1"/>
    <col min="7698" max="7934" width="9.140625" style="2"/>
    <col min="7935" max="7935" width="0" style="2" hidden="1" customWidth="1"/>
    <col min="7936" max="7936" width="6.5703125" style="2" customWidth="1"/>
    <col min="7937" max="7937" width="0" style="2" hidden="1" customWidth="1"/>
    <col min="7938" max="7938" width="6.5703125" style="2" customWidth="1"/>
    <col min="7939" max="7939" width="28.5703125" style="2" customWidth="1"/>
    <col min="7940" max="7940" width="8" style="2" customWidth="1"/>
    <col min="7941" max="7941" width="7.7109375" style="2" customWidth="1"/>
    <col min="7942" max="7942" width="8" style="2" customWidth="1"/>
    <col min="7943" max="7950" width="7" style="2" customWidth="1"/>
    <col min="7951" max="7951" width="9.140625" style="2"/>
    <col min="7952" max="7953" width="0" style="2" hidden="1" customWidth="1"/>
    <col min="7954" max="8190" width="9.140625" style="2"/>
    <col min="8191" max="8191" width="0" style="2" hidden="1" customWidth="1"/>
    <col min="8192" max="8192" width="6.5703125" style="2" customWidth="1"/>
    <col min="8193" max="8193" width="0" style="2" hidden="1" customWidth="1"/>
    <col min="8194" max="8194" width="6.5703125" style="2" customWidth="1"/>
    <col min="8195" max="8195" width="28.5703125" style="2" customWidth="1"/>
    <col min="8196" max="8196" width="8" style="2" customWidth="1"/>
    <col min="8197" max="8197" width="7.7109375" style="2" customWidth="1"/>
    <col min="8198" max="8198" width="8" style="2" customWidth="1"/>
    <col min="8199" max="8206" width="7" style="2" customWidth="1"/>
    <col min="8207" max="8207" width="9.140625" style="2"/>
    <col min="8208" max="8209" width="0" style="2" hidden="1" customWidth="1"/>
    <col min="8210" max="8446" width="9.140625" style="2"/>
    <col min="8447" max="8447" width="0" style="2" hidden="1" customWidth="1"/>
    <col min="8448" max="8448" width="6.5703125" style="2" customWidth="1"/>
    <col min="8449" max="8449" width="0" style="2" hidden="1" customWidth="1"/>
    <col min="8450" max="8450" width="6.5703125" style="2" customWidth="1"/>
    <col min="8451" max="8451" width="28.5703125" style="2" customWidth="1"/>
    <col min="8452" max="8452" width="8" style="2" customWidth="1"/>
    <col min="8453" max="8453" width="7.7109375" style="2" customWidth="1"/>
    <col min="8454" max="8454" width="8" style="2" customWidth="1"/>
    <col min="8455" max="8462" width="7" style="2" customWidth="1"/>
    <col min="8463" max="8463" width="9.140625" style="2"/>
    <col min="8464" max="8465" width="0" style="2" hidden="1" customWidth="1"/>
    <col min="8466" max="8702" width="9.140625" style="2"/>
    <col min="8703" max="8703" width="0" style="2" hidden="1" customWidth="1"/>
    <col min="8704" max="8704" width="6.5703125" style="2" customWidth="1"/>
    <col min="8705" max="8705" width="0" style="2" hidden="1" customWidth="1"/>
    <col min="8706" max="8706" width="6.5703125" style="2" customWidth="1"/>
    <col min="8707" max="8707" width="28.5703125" style="2" customWidth="1"/>
    <col min="8708" max="8708" width="8" style="2" customWidth="1"/>
    <col min="8709" max="8709" width="7.7109375" style="2" customWidth="1"/>
    <col min="8710" max="8710" width="8" style="2" customWidth="1"/>
    <col min="8711" max="8718" width="7" style="2" customWidth="1"/>
    <col min="8719" max="8719" width="9.140625" style="2"/>
    <col min="8720" max="8721" width="0" style="2" hidden="1" customWidth="1"/>
    <col min="8722" max="8958" width="9.140625" style="2"/>
    <col min="8959" max="8959" width="0" style="2" hidden="1" customWidth="1"/>
    <col min="8960" max="8960" width="6.5703125" style="2" customWidth="1"/>
    <col min="8961" max="8961" width="0" style="2" hidden="1" customWidth="1"/>
    <col min="8962" max="8962" width="6.5703125" style="2" customWidth="1"/>
    <col min="8963" max="8963" width="28.5703125" style="2" customWidth="1"/>
    <col min="8964" max="8964" width="8" style="2" customWidth="1"/>
    <col min="8965" max="8965" width="7.7109375" style="2" customWidth="1"/>
    <col min="8966" max="8966" width="8" style="2" customWidth="1"/>
    <col min="8967" max="8974" width="7" style="2" customWidth="1"/>
    <col min="8975" max="8975" width="9.140625" style="2"/>
    <col min="8976" max="8977" width="0" style="2" hidden="1" customWidth="1"/>
    <col min="8978" max="9214" width="9.140625" style="2"/>
    <col min="9215" max="9215" width="0" style="2" hidden="1" customWidth="1"/>
    <col min="9216" max="9216" width="6.5703125" style="2" customWidth="1"/>
    <col min="9217" max="9217" width="0" style="2" hidden="1" customWidth="1"/>
    <col min="9218" max="9218" width="6.5703125" style="2" customWidth="1"/>
    <col min="9219" max="9219" width="28.5703125" style="2" customWidth="1"/>
    <col min="9220" max="9220" width="8" style="2" customWidth="1"/>
    <col min="9221" max="9221" width="7.7109375" style="2" customWidth="1"/>
    <col min="9222" max="9222" width="8" style="2" customWidth="1"/>
    <col min="9223" max="9230" width="7" style="2" customWidth="1"/>
    <col min="9231" max="9231" width="9.140625" style="2"/>
    <col min="9232" max="9233" width="0" style="2" hidden="1" customWidth="1"/>
    <col min="9234" max="9470" width="9.140625" style="2"/>
    <col min="9471" max="9471" width="0" style="2" hidden="1" customWidth="1"/>
    <col min="9472" max="9472" width="6.5703125" style="2" customWidth="1"/>
    <col min="9473" max="9473" width="0" style="2" hidden="1" customWidth="1"/>
    <col min="9474" max="9474" width="6.5703125" style="2" customWidth="1"/>
    <col min="9475" max="9475" width="28.5703125" style="2" customWidth="1"/>
    <col min="9476" max="9476" width="8" style="2" customWidth="1"/>
    <col min="9477" max="9477" width="7.7109375" style="2" customWidth="1"/>
    <col min="9478" max="9478" width="8" style="2" customWidth="1"/>
    <col min="9479" max="9486" width="7" style="2" customWidth="1"/>
    <col min="9487" max="9487" width="9.140625" style="2"/>
    <col min="9488" max="9489" width="0" style="2" hidden="1" customWidth="1"/>
    <col min="9490" max="9726" width="9.140625" style="2"/>
    <col min="9727" max="9727" width="0" style="2" hidden="1" customWidth="1"/>
    <col min="9728" max="9728" width="6.5703125" style="2" customWidth="1"/>
    <col min="9729" max="9729" width="0" style="2" hidden="1" customWidth="1"/>
    <col min="9730" max="9730" width="6.5703125" style="2" customWidth="1"/>
    <col min="9731" max="9731" width="28.5703125" style="2" customWidth="1"/>
    <col min="9732" max="9732" width="8" style="2" customWidth="1"/>
    <col min="9733" max="9733" width="7.7109375" style="2" customWidth="1"/>
    <col min="9734" max="9734" width="8" style="2" customWidth="1"/>
    <col min="9735" max="9742" width="7" style="2" customWidth="1"/>
    <col min="9743" max="9743" width="9.140625" style="2"/>
    <col min="9744" max="9745" width="0" style="2" hidden="1" customWidth="1"/>
    <col min="9746" max="9982" width="9.140625" style="2"/>
    <col min="9983" max="9983" width="0" style="2" hidden="1" customWidth="1"/>
    <col min="9984" max="9984" width="6.5703125" style="2" customWidth="1"/>
    <col min="9985" max="9985" width="0" style="2" hidden="1" customWidth="1"/>
    <col min="9986" max="9986" width="6.5703125" style="2" customWidth="1"/>
    <col min="9987" max="9987" width="28.5703125" style="2" customWidth="1"/>
    <col min="9988" max="9988" width="8" style="2" customWidth="1"/>
    <col min="9989" max="9989" width="7.7109375" style="2" customWidth="1"/>
    <col min="9990" max="9990" width="8" style="2" customWidth="1"/>
    <col min="9991" max="9998" width="7" style="2" customWidth="1"/>
    <col min="9999" max="9999" width="9.140625" style="2"/>
    <col min="10000" max="10001" width="0" style="2" hidden="1" customWidth="1"/>
    <col min="10002" max="10238" width="9.140625" style="2"/>
    <col min="10239" max="10239" width="0" style="2" hidden="1" customWidth="1"/>
    <col min="10240" max="10240" width="6.5703125" style="2" customWidth="1"/>
    <col min="10241" max="10241" width="0" style="2" hidden="1" customWidth="1"/>
    <col min="10242" max="10242" width="6.5703125" style="2" customWidth="1"/>
    <col min="10243" max="10243" width="28.5703125" style="2" customWidth="1"/>
    <col min="10244" max="10244" width="8" style="2" customWidth="1"/>
    <col min="10245" max="10245" width="7.7109375" style="2" customWidth="1"/>
    <col min="10246" max="10246" width="8" style="2" customWidth="1"/>
    <col min="10247" max="10254" width="7" style="2" customWidth="1"/>
    <col min="10255" max="10255" width="9.140625" style="2"/>
    <col min="10256" max="10257" width="0" style="2" hidden="1" customWidth="1"/>
    <col min="10258" max="10494" width="9.140625" style="2"/>
    <col min="10495" max="10495" width="0" style="2" hidden="1" customWidth="1"/>
    <col min="10496" max="10496" width="6.5703125" style="2" customWidth="1"/>
    <col min="10497" max="10497" width="0" style="2" hidden="1" customWidth="1"/>
    <col min="10498" max="10498" width="6.5703125" style="2" customWidth="1"/>
    <col min="10499" max="10499" width="28.5703125" style="2" customWidth="1"/>
    <col min="10500" max="10500" width="8" style="2" customWidth="1"/>
    <col min="10501" max="10501" width="7.7109375" style="2" customWidth="1"/>
    <col min="10502" max="10502" width="8" style="2" customWidth="1"/>
    <col min="10503" max="10510" width="7" style="2" customWidth="1"/>
    <col min="10511" max="10511" width="9.140625" style="2"/>
    <col min="10512" max="10513" width="0" style="2" hidden="1" customWidth="1"/>
    <col min="10514" max="10750" width="9.140625" style="2"/>
    <col min="10751" max="10751" width="0" style="2" hidden="1" customWidth="1"/>
    <col min="10752" max="10752" width="6.5703125" style="2" customWidth="1"/>
    <col min="10753" max="10753" width="0" style="2" hidden="1" customWidth="1"/>
    <col min="10754" max="10754" width="6.5703125" style="2" customWidth="1"/>
    <col min="10755" max="10755" width="28.5703125" style="2" customWidth="1"/>
    <col min="10756" max="10756" width="8" style="2" customWidth="1"/>
    <col min="10757" max="10757" width="7.7109375" style="2" customWidth="1"/>
    <col min="10758" max="10758" width="8" style="2" customWidth="1"/>
    <col min="10759" max="10766" width="7" style="2" customWidth="1"/>
    <col min="10767" max="10767" width="9.140625" style="2"/>
    <col min="10768" max="10769" width="0" style="2" hidden="1" customWidth="1"/>
    <col min="10770" max="11006" width="9.140625" style="2"/>
    <col min="11007" max="11007" width="0" style="2" hidden="1" customWidth="1"/>
    <col min="11008" max="11008" width="6.5703125" style="2" customWidth="1"/>
    <col min="11009" max="11009" width="0" style="2" hidden="1" customWidth="1"/>
    <col min="11010" max="11010" width="6.5703125" style="2" customWidth="1"/>
    <col min="11011" max="11011" width="28.5703125" style="2" customWidth="1"/>
    <col min="11012" max="11012" width="8" style="2" customWidth="1"/>
    <col min="11013" max="11013" width="7.7109375" style="2" customWidth="1"/>
    <col min="11014" max="11014" width="8" style="2" customWidth="1"/>
    <col min="11015" max="11022" width="7" style="2" customWidth="1"/>
    <col min="11023" max="11023" width="9.140625" style="2"/>
    <col min="11024" max="11025" width="0" style="2" hidden="1" customWidth="1"/>
    <col min="11026" max="11262" width="9.140625" style="2"/>
    <col min="11263" max="11263" width="0" style="2" hidden="1" customWidth="1"/>
    <col min="11264" max="11264" width="6.5703125" style="2" customWidth="1"/>
    <col min="11265" max="11265" width="0" style="2" hidden="1" customWidth="1"/>
    <col min="11266" max="11266" width="6.5703125" style="2" customWidth="1"/>
    <col min="11267" max="11267" width="28.5703125" style="2" customWidth="1"/>
    <col min="11268" max="11268" width="8" style="2" customWidth="1"/>
    <col min="11269" max="11269" width="7.7109375" style="2" customWidth="1"/>
    <col min="11270" max="11270" width="8" style="2" customWidth="1"/>
    <col min="11271" max="11278" width="7" style="2" customWidth="1"/>
    <col min="11279" max="11279" width="9.140625" style="2"/>
    <col min="11280" max="11281" width="0" style="2" hidden="1" customWidth="1"/>
    <col min="11282" max="11518" width="9.140625" style="2"/>
    <col min="11519" max="11519" width="0" style="2" hidden="1" customWidth="1"/>
    <col min="11520" max="11520" width="6.5703125" style="2" customWidth="1"/>
    <col min="11521" max="11521" width="0" style="2" hidden="1" customWidth="1"/>
    <col min="11522" max="11522" width="6.5703125" style="2" customWidth="1"/>
    <col min="11523" max="11523" width="28.5703125" style="2" customWidth="1"/>
    <col min="11524" max="11524" width="8" style="2" customWidth="1"/>
    <col min="11525" max="11525" width="7.7109375" style="2" customWidth="1"/>
    <col min="11526" max="11526" width="8" style="2" customWidth="1"/>
    <col min="11527" max="11534" width="7" style="2" customWidth="1"/>
    <col min="11535" max="11535" width="9.140625" style="2"/>
    <col min="11536" max="11537" width="0" style="2" hidden="1" customWidth="1"/>
    <col min="11538" max="11774" width="9.140625" style="2"/>
    <col min="11775" max="11775" width="0" style="2" hidden="1" customWidth="1"/>
    <col min="11776" max="11776" width="6.5703125" style="2" customWidth="1"/>
    <col min="11777" max="11777" width="0" style="2" hidden="1" customWidth="1"/>
    <col min="11778" max="11778" width="6.5703125" style="2" customWidth="1"/>
    <col min="11779" max="11779" width="28.5703125" style="2" customWidth="1"/>
    <col min="11780" max="11780" width="8" style="2" customWidth="1"/>
    <col min="11781" max="11781" width="7.7109375" style="2" customWidth="1"/>
    <col min="11782" max="11782" width="8" style="2" customWidth="1"/>
    <col min="11783" max="11790" width="7" style="2" customWidth="1"/>
    <col min="11791" max="11791" width="9.140625" style="2"/>
    <col min="11792" max="11793" width="0" style="2" hidden="1" customWidth="1"/>
    <col min="11794" max="12030" width="9.140625" style="2"/>
    <col min="12031" max="12031" width="0" style="2" hidden="1" customWidth="1"/>
    <col min="12032" max="12032" width="6.5703125" style="2" customWidth="1"/>
    <col min="12033" max="12033" width="0" style="2" hidden="1" customWidth="1"/>
    <col min="12034" max="12034" width="6.5703125" style="2" customWidth="1"/>
    <col min="12035" max="12035" width="28.5703125" style="2" customWidth="1"/>
    <col min="12036" max="12036" width="8" style="2" customWidth="1"/>
    <col min="12037" max="12037" width="7.7109375" style="2" customWidth="1"/>
    <col min="12038" max="12038" width="8" style="2" customWidth="1"/>
    <col min="12039" max="12046" width="7" style="2" customWidth="1"/>
    <col min="12047" max="12047" width="9.140625" style="2"/>
    <col min="12048" max="12049" width="0" style="2" hidden="1" customWidth="1"/>
    <col min="12050" max="12286" width="9.140625" style="2"/>
    <col min="12287" max="12287" width="0" style="2" hidden="1" customWidth="1"/>
    <col min="12288" max="12288" width="6.5703125" style="2" customWidth="1"/>
    <col min="12289" max="12289" width="0" style="2" hidden="1" customWidth="1"/>
    <col min="12290" max="12290" width="6.5703125" style="2" customWidth="1"/>
    <col min="12291" max="12291" width="28.5703125" style="2" customWidth="1"/>
    <col min="12292" max="12292" width="8" style="2" customWidth="1"/>
    <col min="12293" max="12293" width="7.7109375" style="2" customWidth="1"/>
    <col min="12294" max="12294" width="8" style="2" customWidth="1"/>
    <col min="12295" max="12302" width="7" style="2" customWidth="1"/>
    <col min="12303" max="12303" width="9.140625" style="2"/>
    <col min="12304" max="12305" width="0" style="2" hidden="1" customWidth="1"/>
    <col min="12306" max="12542" width="9.140625" style="2"/>
    <col min="12543" max="12543" width="0" style="2" hidden="1" customWidth="1"/>
    <col min="12544" max="12544" width="6.5703125" style="2" customWidth="1"/>
    <col min="12545" max="12545" width="0" style="2" hidden="1" customWidth="1"/>
    <col min="12546" max="12546" width="6.5703125" style="2" customWidth="1"/>
    <col min="12547" max="12547" width="28.5703125" style="2" customWidth="1"/>
    <col min="12548" max="12548" width="8" style="2" customWidth="1"/>
    <col min="12549" max="12549" width="7.7109375" style="2" customWidth="1"/>
    <col min="12550" max="12550" width="8" style="2" customWidth="1"/>
    <col min="12551" max="12558" width="7" style="2" customWidth="1"/>
    <col min="12559" max="12559" width="9.140625" style="2"/>
    <col min="12560" max="12561" width="0" style="2" hidden="1" customWidth="1"/>
    <col min="12562" max="12798" width="9.140625" style="2"/>
    <col min="12799" max="12799" width="0" style="2" hidden="1" customWidth="1"/>
    <col min="12800" max="12800" width="6.5703125" style="2" customWidth="1"/>
    <col min="12801" max="12801" width="0" style="2" hidden="1" customWidth="1"/>
    <col min="12802" max="12802" width="6.5703125" style="2" customWidth="1"/>
    <col min="12803" max="12803" width="28.5703125" style="2" customWidth="1"/>
    <col min="12804" max="12804" width="8" style="2" customWidth="1"/>
    <col min="12805" max="12805" width="7.7109375" style="2" customWidth="1"/>
    <col min="12806" max="12806" width="8" style="2" customWidth="1"/>
    <col min="12807" max="12814" width="7" style="2" customWidth="1"/>
    <col min="12815" max="12815" width="9.140625" style="2"/>
    <col min="12816" max="12817" width="0" style="2" hidden="1" customWidth="1"/>
    <col min="12818" max="13054" width="9.140625" style="2"/>
    <col min="13055" max="13055" width="0" style="2" hidden="1" customWidth="1"/>
    <col min="13056" max="13056" width="6.5703125" style="2" customWidth="1"/>
    <col min="13057" max="13057" width="0" style="2" hidden="1" customWidth="1"/>
    <col min="13058" max="13058" width="6.5703125" style="2" customWidth="1"/>
    <col min="13059" max="13059" width="28.5703125" style="2" customWidth="1"/>
    <col min="13060" max="13060" width="8" style="2" customWidth="1"/>
    <col min="13061" max="13061" width="7.7109375" style="2" customWidth="1"/>
    <col min="13062" max="13062" width="8" style="2" customWidth="1"/>
    <col min="13063" max="13070" width="7" style="2" customWidth="1"/>
    <col min="13071" max="13071" width="9.140625" style="2"/>
    <col min="13072" max="13073" width="0" style="2" hidden="1" customWidth="1"/>
    <col min="13074" max="13310" width="9.140625" style="2"/>
    <col min="13311" max="13311" width="0" style="2" hidden="1" customWidth="1"/>
    <col min="13312" max="13312" width="6.5703125" style="2" customWidth="1"/>
    <col min="13313" max="13313" width="0" style="2" hidden="1" customWidth="1"/>
    <col min="13314" max="13314" width="6.5703125" style="2" customWidth="1"/>
    <col min="13315" max="13315" width="28.5703125" style="2" customWidth="1"/>
    <col min="13316" max="13316" width="8" style="2" customWidth="1"/>
    <col min="13317" max="13317" width="7.7109375" style="2" customWidth="1"/>
    <col min="13318" max="13318" width="8" style="2" customWidth="1"/>
    <col min="13319" max="13326" width="7" style="2" customWidth="1"/>
    <col min="13327" max="13327" width="9.140625" style="2"/>
    <col min="13328" max="13329" width="0" style="2" hidden="1" customWidth="1"/>
    <col min="13330" max="13566" width="9.140625" style="2"/>
    <col min="13567" max="13567" width="0" style="2" hidden="1" customWidth="1"/>
    <col min="13568" max="13568" width="6.5703125" style="2" customWidth="1"/>
    <col min="13569" max="13569" width="0" style="2" hidden="1" customWidth="1"/>
    <col min="13570" max="13570" width="6.5703125" style="2" customWidth="1"/>
    <col min="13571" max="13571" width="28.5703125" style="2" customWidth="1"/>
    <col min="13572" max="13572" width="8" style="2" customWidth="1"/>
    <col min="13573" max="13573" width="7.7109375" style="2" customWidth="1"/>
    <col min="13574" max="13574" width="8" style="2" customWidth="1"/>
    <col min="13575" max="13582" width="7" style="2" customWidth="1"/>
    <col min="13583" max="13583" width="9.140625" style="2"/>
    <col min="13584" max="13585" width="0" style="2" hidden="1" customWidth="1"/>
    <col min="13586" max="13822" width="9.140625" style="2"/>
    <col min="13823" max="13823" width="0" style="2" hidden="1" customWidth="1"/>
    <col min="13824" max="13824" width="6.5703125" style="2" customWidth="1"/>
    <col min="13825" max="13825" width="0" style="2" hidden="1" customWidth="1"/>
    <col min="13826" max="13826" width="6.5703125" style="2" customWidth="1"/>
    <col min="13827" max="13827" width="28.5703125" style="2" customWidth="1"/>
    <col min="13828" max="13828" width="8" style="2" customWidth="1"/>
    <col min="13829" max="13829" width="7.7109375" style="2" customWidth="1"/>
    <col min="13830" max="13830" width="8" style="2" customWidth="1"/>
    <col min="13831" max="13838" width="7" style="2" customWidth="1"/>
    <col min="13839" max="13839" width="9.140625" style="2"/>
    <col min="13840" max="13841" width="0" style="2" hidden="1" customWidth="1"/>
    <col min="13842" max="14078" width="9.140625" style="2"/>
    <col min="14079" max="14079" width="0" style="2" hidden="1" customWidth="1"/>
    <col min="14080" max="14080" width="6.5703125" style="2" customWidth="1"/>
    <col min="14081" max="14081" width="0" style="2" hidden="1" customWidth="1"/>
    <col min="14082" max="14082" width="6.5703125" style="2" customWidth="1"/>
    <col min="14083" max="14083" width="28.5703125" style="2" customWidth="1"/>
    <col min="14084" max="14084" width="8" style="2" customWidth="1"/>
    <col min="14085" max="14085" width="7.7109375" style="2" customWidth="1"/>
    <col min="14086" max="14086" width="8" style="2" customWidth="1"/>
    <col min="14087" max="14094" width="7" style="2" customWidth="1"/>
    <col min="14095" max="14095" width="9.140625" style="2"/>
    <col min="14096" max="14097" width="0" style="2" hidden="1" customWidth="1"/>
    <col min="14098" max="14334" width="9.140625" style="2"/>
    <col min="14335" max="14335" width="0" style="2" hidden="1" customWidth="1"/>
    <col min="14336" max="14336" width="6.5703125" style="2" customWidth="1"/>
    <col min="14337" max="14337" width="0" style="2" hidden="1" customWidth="1"/>
    <col min="14338" max="14338" width="6.5703125" style="2" customWidth="1"/>
    <col min="14339" max="14339" width="28.5703125" style="2" customWidth="1"/>
    <col min="14340" max="14340" width="8" style="2" customWidth="1"/>
    <col min="14341" max="14341" width="7.7109375" style="2" customWidth="1"/>
    <col min="14342" max="14342" width="8" style="2" customWidth="1"/>
    <col min="14343" max="14350" width="7" style="2" customWidth="1"/>
    <col min="14351" max="14351" width="9.140625" style="2"/>
    <col min="14352" max="14353" width="0" style="2" hidden="1" customWidth="1"/>
    <col min="14354" max="14590" width="9.140625" style="2"/>
    <col min="14591" max="14591" width="0" style="2" hidden="1" customWidth="1"/>
    <col min="14592" max="14592" width="6.5703125" style="2" customWidth="1"/>
    <col min="14593" max="14593" width="0" style="2" hidden="1" customWidth="1"/>
    <col min="14594" max="14594" width="6.5703125" style="2" customWidth="1"/>
    <col min="14595" max="14595" width="28.5703125" style="2" customWidth="1"/>
    <col min="14596" max="14596" width="8" style="2" customWidth="1"/>
    <col min="14597" max="14597" width="7.7109375" style="2" customWidth="1"/>
    <col min="14598" max="14598" width="8" style="2" customWidth="1"/>
    <col min="14599" max="14606" width="7" style="2" customWidth="1"/>
    <col min="14607" max="14607" width="9.140625" style="2"/>
    <col min="14608" max="14609" width="0" style="2" hidden="1" customWidth="1"/>
    <col min="14610" max="14846" width="9.140625" style="2"/>
    <col min="14847" max="14847" width="0" style="2" hidden="1" customWidth="1"/>
    <col min="14848" max="14848" width="6.5703125" style="2" customWidth="1"/>
    <col min="14849" max="14849" width="0" style="2" hidden="1" customWidth="1"/>
    <col min="14850" max="14850" width="6.5703125" style="2" customWidth="1"/>
    <col min="14851" max="14851" width="28.5703125" style="2" customWidth="1"/>
    <col min="14852" max="14852" width="8" style="2" customWidth="1"/>
    <col min="14853" max="14853" width="7.7109375" style="2" customWidth="1"/>
    <col min="14854" max="14854" width="8" style="2" customWidth="1"/>
    <col min="14855" max="14862" width="7" style="2" customWidth="1"/>
    <col min="14863" max="14863" width="9.140625" style="2"/>
    <col min="14864" max="14865" width="0" style="2" hidden="1" customWidth="1"/>
    <col min="14866" max="15102" width="9.140625" style="2"/>
    <col min="15103" max="15103" width="0" style="2" hidden="1" customWidth="1"/>
    <col min="15104" max="15104" width="6.5703125" style="2" customWidth="1"/>
    <col min="15105" max="15105" width="0" style="2" hidden="1" customWidth="1"/>
    <col min="15106" max="15106" width="6.5703125" style="2" customWidth="1"/>
    <col min="15107" max="15107" width="28.5703125" style="2" customWidth="1"/>
    <col min="15108" max="15108" width="8" style="2" customWidth="1"/>
    <col min="15109" max="15109" width="7.7109375" style="2" customWidth="1"/>
    <col min="15110" max="15110" width="8" style="2" customWidth="1"/>
    <col min="15111" max="15118" width="7" style="2" customWidth="1"/>
    <col min="15119" max="15119" width="9.140625" style="2"/>
    <col min="15120" max="15121" width="0" style="2" hidden="1" customWidth="1"/>
    <col min="15122" max="15358" width="9.140625" style="2"/>
    <col min="15359" max="15359" width="0" style="2" hidden="1" customWidth="1"/>
    <col min="15360" max="15360" width="6.5703125" style="2" customWidth="1"/>
    <col min="15361" max="15361" width="0" style="2" hidden="1" customWidth="1"/>
    <col min="15362" max="15362" width="6.5703125" style="2" customWidth="1"/>
    <col min="15363" max="15363" width="28.5703125" style="2" customWidth="1"/>
    <col min="15364" max="15364" width="8" style="2" customWidth="1"/>
    <col min="15365" max="15365" width="7.7109375" style="2" customWidth="1"/>
    <col min="15366" max="15366" width="8" style="2" customWidth="1"/>
    <col min="15367" max="15374" width="7" style="2" customWidth="1"/>
    <col min="15375" max="15375" width="9.140625" style="2"/>
    <col min="15376" max="15377" width="0" style="2" hidden="1" customWidth="1"/>
    <col min="15378" max="15614" width="9.140625" style="2"/>
    <col min="15615" max="15615" width="0" style="2" hidden="1" customWidth="1"/>
    <col min="15616" max="15616" width="6.5703125" style="2" customWidth="1"/>
    <col min="15617" max="15617" width="0" style="2" hidden="1" customWidth="1"/>
    <col min="15618" max="15618" width="6.5703125" style="2" customWidth="1"/>
    <col min="15619" max="15619" width="28.5703125" style="2" customWidth="1"/>
    <col min="15620" max="15620" width="8" style="2" customWidth="1"/>
    <col min="15621" max="15621" width="7.7109375" style="2" customWidth="1"/>
    <col min="15622" max="15622" width="8" style="2" customWidth="1"/>
    <col min="15623" max="15630" width="7" style="2" customWidth="1"/>
    <col min="15631" max="15631" width="9.140625" style="2"/>
    <col min="15632" max="15633" width="0" style="2" hidden="1" customWidth="1"/>
    <col min="15634" max="15870" width="9.140625" style="2"/>
    <col min="15871" max="15871" width="0" style="2" hidden="1" customWidth="1"/>
    <col min="15872" max="15872" width="6.5703125" style="2" customWidth="1"/>
    <col min="15873" max="15873" width="0" style="2" hidden="1" customWidth="1"/>
    <col min="15874" max="15874" width="6.5703125" style="2" customWidth="1"/>
    <col min="15875" max="15875" width="28.5703125" style="2" customWidth="1"/>
    <col min="15876" max="15876" width="8" style="2" customWidth="1"/>
    <col min="15877" max="15877" width="7.7109375" style="2" customWidth="1"/>
    <col min="15878" max="15878" width="8" style="2" customWidth="1"/>
    <col min="15879" max="15886" width="7" style="2" customWidth="1"/>
    <col min="15887" max="15887" width="9.140625" style="2"/>
    <col min="15888" max="15889" width="0" style="2" hidden="1" customWidth="1"/>
    <col min="15890" max="16126" width="9.140625" style="2"/>
    <col min="16127" max="16127" width="0" style="2" hidden="1" customWidth="1"/>
    <col min="16128" max="16128" width="6.5703125" style="2" customWidth="1"/>
    <col min="16129" max="16129" width="0" style="2" hidden="1" customWidth="1"/>
    <col min="16130" max="16130" width="6.5703125" style="2" customWidth="1"/>
    <col min="16131" max="16131" width="28.5703125" style="2" customWidth="1"/>
    <col min="16132" max="16132" width="8" style="2" customWidth="1"/>
    <col min="16133" max="16133" width="7.7109375" style="2" customWidth="1"/>
    <col min="16134" max="16134" width="8" style="2" customWidth="1"/>
    <col min="16135" max="16142" width="7" style="2" customWidth="1"/>
    <col min="16143" max="16143" width="9.140625" style="2"/>
    <col min="16144" max="16145" width="0" style="2" hidden="1" customWidth="1"/>
    <col min="16146" max="16384" width="9.140625" style="2"/>
  </cols>
  <sheetData>
    <row r="1" spans="1:18" s="46" customFormat="1" ht="15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0"/>
      <c r="L1" s="167" t="s">
        <v>77</v>
      </c>
      <c r="M1" s="167"/>
      <c r="N1" s="167"/>
      <c r="O1" s="167"/>
      <c r="P1" s="167"/>
      <c r="Q1" s="167"/>
    </row>
    <row r="2" spans="1:18" s="52" customFormat="1" ht="15" customHeight="1">
      <c r="A2" s="51"/>
      <c r="B2" s="51"/>
      <c r="D2" s="53"/>
      <c r="E2" s="53"/>
      <c r="F2" s="53"/>
      <c r="G2" s="53"/>
      <c r="H2" s="54"/>
      <c r="I2" s="55"/>
      <c r="J2" s="167" t="s">
        <v>234</v>
      </c>
      <c r="K2" s="167"/>
      <c r="L2" s="167"/>
      <c r="M2" s="167"/>
      <c r="N2" s="167"/>
      <c r="O2" s="167"/>
      <c r="P2" s="167"/>
      <c r="Q2" s="167"/>
    </row>
    <row r="3" spans="1:18" s="52" customFormat="1" ht="12" customHeight="1">
      <c r="A3" s="51"/>
      <c r="B3" s="51"/>
      <c r="D3" s="56"/>
      <c r="E3" s="56"/>
      <c r="F3" s="56"/>
      <c r="G3" s="56"/>
      <c r="H3" s="57"/>
      <c r="I3" s="174" t="s">
        <v>178</v>
      </c>
      <c r="J3" s="174"/>
      <c r="K3" s="174"/>
      <c r="L3" s="174"/>
      <c r="M3" s="174"/>
      <c r="N3" s="174"/>
      <c r="O3" s="174"/>
      <c r="P3" s="174"/>
      <c r="Q3" s="174"/>
    </row>
    <row r="4" spans="1:18" s="46" customFormat="1" ht="12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58"/>
      <c r="L4" s="166" t="s">
        <v>247</v>
      </c>
      <c r="M4" s="166"/>
      <c r="N4" s="166"/>
      <c r="O4" s="166"/>
      <c r="P4" s="166"/>
      <c r="Q4" s="166"/>
    </row>
    <row r="5" spans="1:18" s="46" customFormat="1" ht="20.25" customHeight="1">
      <c r="A5" s="45"/>
      <c r="B5" s="173" t="s">
        <v>131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spans="1:18" s="46" customFormat="1" ht="11.25" customHeight="1">
      <c r="A6" s="45"/>
      <c r="B6" s="171" t="s">
        <v>129</v>
      </c>
      <c r="C6" s="171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s="46" customFormat="1" ht="19.5" customHeight="1">
      <c r="A7" s="45"/>
      <c r="B7" s="172" t="s">
        <v>130</v>
      </c>
      <c r="C7" s="17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 t="s">
        <v>0</v>
      </c>
    </row>
    <row r="8" spans="1:18" s="7" customFormat="1" ht="15.75" customHeight="1">
      <c r="A8" s="6"/>
      <c r="B8" s="170" t="s">
        <v>120</v>
      </c>
      <c r="C8" s="170" t="s">
        <v>121</v>
      </c>
      <c r="D8" s="170" t="s">
        <v>66</v>
      </c>
      <c r="E8" s="170" t="s">
        <v>122</v>
      </c>
      <c r="F8" s="168" t="s">
        <v>5</v>
      </c>
      <c r="G8" s="168"/>
      <c r="H8" s="168"/>
      <c r="I8" s="168"/>
      <c r="J8" s="168"/>
      <c r="K8" s="168" t="s">
        <v>2</v>
      </c>
      <c r="L8" s="168"/>
      <c r="M8" s="168"/>
      <c r="N8" s="168"/>
      <c r="O8" s="168"/>
      <c r="P8" s="168"/>
      <c r="Q8" s="168" t="s">
        <v>4</v>
      </c>
    </row>
    <row r="9" spans="1:18" s="7" customFormat="1" ht="20.25" customHeight="1">
      <c r="A9" s="6"/>
      <c r="B9" s="170"/>
      <c r="C9" s="170"/>
      <c r="D9" s="170"/>
      <c r="E9" s="170"/>
      <c r="F9" s="168" t="s">
        <v>62</v>
      </c>
      <c r="G9" s="169" t="s">
        <v>6</v>
      </c>
      <c r="H9" s="170" t="s">
        <v>7</v>
      </c>
      <c r="I9" s="170"/>
      <c r="J9" s="169" t="s">
        <v>8</v>
      </c>
      <c r="K9" s="168" t="str">
        <f>F9</f>
        <v>усього</v>
      </c>
      <c r="L9" s="169" t="s">
        <v>61</v>
      </c>
      <c r="M9" s="169" t="s">
        <v>6</v>
      </c>
      <c r="N9" s="170" t="s">
        <v>7</v>
      </c>
      <c r="O9" s="170"/>
      <c r="P9" s="169" t="s">
        <v>8</v>
      </c>
      <c r="Q9" s="168"/>
    </row>
    <row r="10" spans="1:18" s="7" customFormat="1" ht="93" customHeight="1">
      <c r="A10" s="6"/>
      <c r="B10" s="170"/>
      <c r="C10" s="170"/>
      <c r="D10" s="170"/>
      <c r="E10" s="170"/>
      <c r="F10" s="168"/>
      <c r="G10" s="169"/>
      <c r="H10" s="142" t="s">
        <v>9</v>
      </c>
      <c r="I10" s="142" t="s">
        <v>10</v>
      </c>
      <c r="J10" s="169"/>
      <c r="K10" s="168"/>
      <c r="L10" s="169"/>
      <c r="M10" s="169"/>
      <c r="N10" s="142" t="s">
        <v>9</v>
      </c>
      <c r="O10" s="142" t="s">
        <v>10</v>
      </c>
      <c r="P10" s="169"/>
      <c r="Q10" s="168"/>
    </row>
    <row r="11" spans="1:18" s="7" customFormat="1" ht="15.75" customHeight="1">
      <c r="A11" s="6"/>
      <c r="B11" s="142">
        <v>1</v>
      </c>
      <c r="C11" s="142">
        <v>2</v>
      </c>
      <c r="D11" s="142">
        <v>3</v>
      </c>
      <c r="E11" s="142">
        <v>4</v>
      </c>
      <c r="F11" s="142">
        <v>5</v>
      </c>
      <c r="G11" s="141">
        <v>6</v>
      </c>
      <c r="H11" s="142">
        <v>7</v>
      </c>
      <c r="I11" s="142">
        <v>8</v>
      </c>
      <c r="J11" s="141">
        <v>9</v>
      </c>
      <c r="K11" s="142">
        <v>10</v>
      </c>
      <c r="L11" s="141">
        <v>11</v>
      </c>
      <c r="M11" s="141">
        <v>12</v>
      </c>
      <c r="N11" s="142">
        <v>13</v>
      </c>
      <c r="O11" s="142">
        <v>14</v>
      </c>
      <c r="P11" s="141">
        <v>15</v>
      </c>
      <c r="Q11" s="142">
        <v>16</v>
      </c>
    </row>
    <row r="12" spans="1:18" s="27" customFormat="1" ht="19.5" customHeight="1">
      <c r="A12" s="26"/>
      <c r="B12" s="60" t="s">
        <v>68</v>
      </c>
      <c r="C12" s="61" t="s">
        <v>3</v>
      </c>
      <c r="D12" s="62" t="s">
        <v>3</v>
      </c>
      <c r="E12" s="63" t="s">
        <v>11</v>
      </c>
      <c r="F12" s="64">
        <f>F13</f>
        <v>69332238.180000007</v>
      </c>
      <c r="G12" s="64">
        <f t="shared" ref="G12:I12" si="0">G13</f>
        <v>69332238.180000007</v>
      </c>
      <c r="H12" s="64">
        <f t="shared" si="0"/>
        <v>45383549.480000004</v>
      </c>
      <c r="I12" s="64">
        <f t="shared" si="0"/>
        <v>3320199</v>
      </c>
      <c r="J12" s="64">
        <f t="shared" ref="J12:P12" si="1">J13</f>
        <v>0</v>
      </c>
      <c r="K12" s="64">
        <f t="shared" si="1"/>
        <v>5055930</v>
      </c>
      <c r="L12" s="64">
        <f t="shared" si="1"/>
        <v>3992930</v>
      </c>
      <c r="M12" s="64">
        <f t="shared" si="1"/>
        <v>1063000</v>
      </c>
      <c r="N12" s="64">
        <f t="shared" si="1"/>
        <v>10000</v>
      </c>
      <c r="O12" s="64">
        <f t="shared" si="1"/>
        <v>0</v>
      </c>
      <c r="P12" s="64">
        <f t="shared" si="1"/>
        <v>3992930</v>
      </c>
      <c r="Q12" s="64">
        <f>Q13</f>
        <v>74388168.180000007</v>
      </c>
      <c r="R12" s="43"/>
    </row>
    <row r="13" spans="1:18" s="7" customFormat="1" ht="26.25" customHeight="1">
      <c r="A13" s="6"/>
      <c r="B13" s="65" t="s">
        <v>69</v>
      </c>
      <c r="C13" s="66"/>
      <c r="D13" s="140"/>
      <c r="E13" s="67" t="s">
        <v>11</v>
      </c>
      <c r="F13" s="44">
        <f>F14+F16+F51+F62+F83+F89+F97+F124+F126+F128+F100</f>
        <v>69332238.180000007</v>
      </c>
      <c r="G13" s="44">
        <f t="shared" ref="G13:Q13" si="2">G14+G16+G51+G62+G83+G89+G97+G124+G126+G128+G100</f>
        <v>69332238.180000007</v>
      </c>
      <c r="H13" s="44">
        <f t="shared" si="2"/>
        <v>45383549.480000004</v>
      </c>
      <c r="I13" s="44">
        <f t="shared" si="2"/>
        <v>3320199</v>
      </c>
      <c r="J13" s="44">
        <f t="shared" si="2"/>
        <v>0</v>
      </c>
      <c r="K13" s="44">
        <f t="shared" si="2"/>
        <v>5055930</v>
      </c>
      <c r="L13" s="44">
        <f t="shared" si="2"/>
        <v>3992930</v>
      </c>
      <c r="M13" s="44">
        <f t="shared" si="2"/>
        <v>1063000</v>
      </c>
      <c r="N13" s="44">
        <f t="shared" si="2"/>
        <v>10000</v>
      </c>
      <c r="O13" s="44">
        <f t="shared" si="2"/>
        <v>0</v>
      </c>
      <c r="P13" s="44">
        <f t="shared" si="2"/>
        <v>3992930</v>
      </c>
      <c r="Q13" s="44">
        <f t="shared" si="2"/>
        <v>74388168.180000007</v>
      </c>
      <c r="R13" s="8"/>
    </row>
    <row r="14" spans="1:18" s="7" customFormat="1" ht="21.75" customHeight="1">
      <c r="A14" s="6"/>
      <c r="B14" s="65"/>
      <c r="C14" s="65" t="s">
        <v>80</v>
      </c>
      <c r="D14" s="140"/>
      <c r="E14" s="67" t="s">
        <v>81</v>
      </c>
      <c r="F14" s="44">
        <f>F15</f>
        <v>13320430</v>
      </c>
      <c r="G14" s="44">
        <f t="shared" ref="G14:P14" si="3">G15</f>
        <v>13320430</v>
      </c>
      <c r="H14" s="44">
        <f t="shared" si="3"/>
        <v>9963000</v>
      </c>
      <c r="I14" s="44">
        <f t="shared" si="3"/>
        <v>241840</v>
      </c>
      <c r="J14" s="44">
        <f t="shared" si="3"/>
        <v>0</v>
      </c>
      <c r="K14" s="44">
        <f t="shared" si="3"/>
        <v>600000</v>
      </c>
      <c r="L14" s="44">
        <f t="shared" si="3"/>
        <v>600000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600000</v>
      </c>
      <c r="Q14" s="44">
        <f>K14+F14</f>
        <v>13920430</v>
      </c>
    </row>
    <row r="15" spans="1:18" s="10" customFormat="1" ht="39" customHeight="1">
      <c r="A15" s="9"/>
      <c r="B15" s="68" t="s">
        <v>12</v>
      </c>
      <c r="C15" s="69" t="s">
        <v>85</v>
      </c>
      <c r="D15" s="69" t="s">
        <v>13</v>
      </c>
      <c r="E15" s="70" t="s">
        <v>14</v>
      </c>
      <c r="F15" s="39">
        <f>G15</f>
        <v>13320430</v>
      </c>
      <c r="G15" s="71">
        <f>291000+12260000+454000+20000+40000+29000+40000-8200+114000+80630</f>
        <v>13320430</v>
      </c>
      <c r="H15" s="71">
        <f>228000+9420000+115000+200000</f>
        <v>9963000</v>
      </c>
      <c r="I15" s="71">
        <f>198840+5000+24000+2000-6000+18000</f>
        <v>241840</v>
      </c>
      <c r="J15" s="39">
        <v>0</v>
      </c>
      <c r="K15" s="72">
        <f>L15</f>
        <v>600000</v>
      </c>
      <c r="L15" s="73">
        <f>30000+60000+550000+50000-4808-4192-370-80630</f>
        <v>600000</v>
      </c>
      <c r="M15" s="39">
        <v>0</v>
      </c>
      <c r="N15" s="39">
        <v>0</v>
      </c>
      <c r="O15" s="39">
        <v>0</v>
      </c>
      <c r="P15" s="39">
        <f>L15</f>
        <v>600000</v>
      </c>
      <c r="Q15" s="74">
        <f>F15+K15</f>
        <v>13920430</v>
      </c>
    </row>
    <row r="16" spans="1:18" s="10" customFormat="1" ht="15" customHeight="1">
      <c r="A16" s="9"/>
      <c r="B16" s="75"/>
      <c r="C16" s="75">
        <v>1000</v>
      </c>
      <c r="D16" s="75"/>
      <c r="E16" s="76" t="s">
        <v>82</v>
      </c>
      <c r="F16" s="77">
        <f>F17+F19+F24+F37+F44+F34+F46+F40</f>
        <v>44986691.180000007</v>
      </c>
      <c r="G16" s="77">
        <f t="shared" ref="G16:P16" si="4">G17+G19+G24+G37+G44+G34+G46+G40</f>
        <v>44986691.180000007</v>
      </c>
      <c r="H16" s="77">
        <f t="shared" si="4"/>
        <v>31803049.48</v>
      </c>
      <c r="I16" s="77">
        <f t="shared" si="4"/>
        <v>2208609</v>
      </c>
      <c r="J16" s="77">
        <f t="shared" si="4"/>
        <v>0</v>
      </c>
      <c r="K16" s="77">
        <f t="shared" si="4"/>
        <v>2838685</v>
      </c>
      <c r="L16" s="77">
        <f t="shared" si="4"/>
        <v>1973685</v>
      </c>
      <c r="M16" s="77">
        <f t="shared" si="4"/>
        <v>865000</v>
      </c>
      <c r="N16" s="77">
        <f t="shared" si="4"/>
        <v>0</v>
      </c>
      <c r="O16" s="77">
        <f t="shared" si="4"/>
        <v>0</v>
      </c>
      <c r="P16" s="77">
        <f t="shared" si="4"/>
        <v>1973685</v>
      </c>
      <c r="Q16" s="77">
        <f>K16+F16</f>
        <v>47825376.180000007</v>
      </c>
      <c r="R16" s="42"/>
    </row>
    <row r="17" spans="1:18" s="7" customFormat="1" ht="21" customHeight="1">
      <c r="A17" s="6"/>
      <c r="B17" s="78" t="s">
        <v>15</v>
      </c>
      <c r="C17" s="78" t="s">
        <v>16</v>
      </c>
      <c r="D17" s="78" t="s">
        <v>17</v>
      </c>
      <c r="E17" s="79" t="s">
        <v>18</v>
      </c>
      <c r="F17" s="11">
        <f>F18</f>
        <v>9840000</v>
      </c>
      <c r="G17" s="11">
        <f>G18</f>
        <v>9840000</v>
      </c>
      <c r="H17" s="11">
        <f>H18</f>
        <v>6445000</v>
      </c>
      <c r="I17" s="11">
        <f>I18</f>
        <v>699000</v>
      </c>
      <c r="J17" s="11">
        <f t="shared" ref="J17:P17" si="5">J18</f>
        <v>0</v>
      </c>
      <c r="K17" s="11">
        <f t="shared" si="5"/>
        <v>475000</v>
      </c>
      <c r="L17" s="11">
        <f t="shared" si="5"/>
        <v>0</v>
      </c>
      <c r="M17" s="11">
        <f t="shared" si="5"/>
        <v>475000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>F17+K17</f>
        <v>10315000</v>
      </c>
    </row>
    <row r="18" spans="1:18" s="7" customFormat="1" ht="19.5" customHeight="1">
      <c r="A18" s="6"/>
      <c r="B18" s="78"/>
      <c r="C18" s="78"/>
      <c r="D18" s="78"/>
      <c r="E18" s="80" t="s">
        <v>19</v>
      </c>
      <c r="F18" s="5">
        <f>G18</f>
        <v>9840000</v>
      </c>
      <c r="G18" s="25">
        <f>8754000+773000+40000+20000+282000-29000</f>
        <v>9840000</v>
      </c>
      <c r="H18" s="25">
        <f>5870000+160000+415000</f>
        <v>6445000</v>
      </c>
      <c r="I18" s="25">
        <f>200000+600000+93000-200000+35000-29000</f>
        <v>699000</v>
      </c>
      <c r="J18" s="5">
        <v>0</v>
      </c>
      <c r="K18" s="5">
        <f>M18</f>
        <v>475000</v>
      </c>
      <c r="L18" s="5">
        <v>0</v>
      </c>
      <c r="M18" s="25">
        <f>455000+20000</f>
        <v>475000</v>
      </c>
      <c r="N18" s="5">
        <v>0</v>
      </c>
      <c r="O18" s="5">
        <v>0</v>
      </c>
      <c r="P18" s="5">
        <v>0</v>
      </c>
      <c r="Q18" s="5">
        <f t="shared" ref="Q18:Q88" si="6">F18+K18</f>
        <v>10315000</v>
      </c>
    </row>
    <row r="19" spans="1:18" s="7" customFormat="1" ht="25.5" customHeight="1">
      <c r="A19" s="6"/>
      <c r="B19" s="78" t="s">
        <v>20</v>
      </c>
      <c r="C19" s="78" t="s">
        <v>21</v>
      </c>
      <c r="D19" s="78"/>
      <c r="E19" s="79" t="s">
        <v>139</v>
      </c>
      <c r="F19" s="11">
        <f>F20</f>
        <v>11264261.48</v>
      </c>
      <c r="G19" s="11">
        <f t="shared" ref="G19:Q19" si="7">G20</f>
        <v>11264261.48</v>
      </c>
      <c r="H19" s="11">
        <f t="shared" si="7"/>
        <v>6763385.4800000004</v>
      </c>
      <c r="I19" s="11">
        <f t="shared" si="7"/>
        <v>1495000</v>
      </c>
      <c r="J19" s="11">
        <f t="shared" si="7"/>
        <v>0</v>
      </c>
      <c r="K19" s="11">
        <f t="shared" si="7"/>
        <v>465700</v>
      </c>
      <c r="L19" s="11">
        <f t="shared" si="7"/>
        <v>75700</v>
      </c>
      <c r="M19" s="11">
        <f t="shared" si="7"/>
        <v>390000</v>
      </c>
      <c r="N19" s="11">
        <f t="shared" si="7"/>
        <v>0</v>
      </c>
      <c r="O19" s="11">
        <f t="shared" si="7"/>
        <v>0</v>
      </c>
      <c r="P19" s="11">
        <f t="shared" si="7"/>
        <v>75700</v>
      </c>
      <c r="Q19" s="11">
        <f t="shared" si="7"/>
        <v>11729961.48</v>
      </c>
    </row>
    <row r="20" spans="1:18" s="7" customFormat="1" ht="28.5" customHeight="1">
      <c r="A20" s="6"/>
      <c r="B20" s="78" t="s">
        <v>175</v>
      </c>
      <c r="C20" s="78" t="s">
        <v>176</v>
      </c>
      <c r="D20" s="78" t="s">
        <v>22</v>
      </c>
      <c r="E20" s="79" t="s">
        <v>140</v>
      </c>
      <c r="F20" s="11">
        <f>SUM(F21:F23)</f>
        <v>11264261.48</v>
      </c>
      <c r="G20" s="11">
        <f t="shared" ref="G20:J20" si="8">SUM(G21:G23)</f>
        <v>11264261.48</v>
      </c>
      <c r="H20" s="11">
        <f>SUM(H21:H23)</f>
        <v>6763385.4800000004</v>
      </c>
      <c r="I20" s="11">
        <f t="shared" si="8"/>
        <v>1495000</v>
      </c>
      <c r="J20" s="11">
        <f t="shared" si="8"/>
        <v>0</v>
      </c>
      <c r="K20" s="11">
        <f t="shared" ref="K20" si="9">SUM(K21:K23)</f>
        <v>465700</v>
      </c>
      <c r="L20" s="11">
        <f t="shared" ref="L20" si="10">SUM(L21:L23)</f>
        <v>75700</v>
      </c>
      <c r="M20" s="11">
        <f t="shared" ref="M20:N20" si="11">SUM(M21:M23)</f>
        <v>390000</v>
      </c>
      <c r="N20" s="11">
        <f t="shared" si="11"/>
        <v>0</v>
      </c>
      <c r="O20" s="11">
        <f t="shared" ref="O20" si="12">SUM(O21:O23)</f>
        <v>0</v>
      </c>
      <c r="P20" s="11">
        <f t="shared" ref="P20:Q20" si="13">SUM(P21:P23)</f>
        <v>75700</v>
      </c>
      <c r="Q20" s="11">
        <f t="shared" si="13"/>
        <v>11729961.48</v>
      </c>
      <c r="R20" s="161"/>
    </row>
    <row r="21" spans="1:18" s="7" customFormat="1" ht="22.5" customHeight="1">
      <c r="A21" s="6"/>
      <c r="B21" s="142"/>
      <c r="C21" s="142"/>
      <c r="D21" s="142"/>
      <c r="E21" s="80" t="s">
        <v>19</v>
      </c>
      <c r="F21" s="5">
        <f>G21</f>
        <v>10381076</v>
      </c>
      <c r="G21" s="25">
        <f>10968200+300000+50000-36052-36072+50000+30000-577000-368000</f>
        <v>10381076</v>
      </c>
      <c r="H21" s="25">
        <f>6734200-500000-114000-240000</f>
        <v>5880200</v>
      </c>
      <c r="I21" s="25">
        <f>830000+400000+20000+150000+50000-100000-100000+73000+120000+52000</f>
        <v>1495000</v>
      </c>
      <c r="J21" s="5">
        <v>0</v>
      </c>
      <c r="K21" s="5">
        <f>L21+M21</f>
        <v>465700</v>
      </c>
      <c r="L21" s="73">
        <v>75700</v>
      </c>
      <c r="M21" s="25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10846776</v>
      </c>
    </row>
    <row r="22" spans="1:18" s="20" customFormat="1" ht="63" customHeight="1">
      <c r="A22" s="19"/>
      <c r="B22" s="81"/>
      <c r="C22" s="81"/>
      <c r="D22" s="81"/>
      <c r="E22" s="82" t="s">
        <v>132</v>
      </c>
      <c r="F22" s="28">
        <f>G22</f>
        <v>875800</v>
      </c>
      <c r="G22" s="5">
        <f>H22</f>
        <v>875800</v>
      </c>
      <c r="H22" s="83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</row>
    <row r="23" spans="1:18" s="20" customFormat="1" ht="59.25" customHeight="1">
      <c r="A23" s="19"/>
      <c r="B23" s="81"/>
      <c r="C23" s="81"/>
      <c r="D23" s="81"/>
      <c r="E23" s="82" t="s">
        <v>206</v>
      </c>
      <c r="F23" s="28">
        <f>G23</f>
        <v>7385.48</v>
      </c>
      <c r="G23" s="5">
        <f>H23</f>
        <v>7385.48</v>
      </c>
      <c r="H23" s="83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4">F23+K23</f>
        <v>7385.48</v>
      </c>
    </row>
    <row r="24" spans="1:18" s="7" customFormat="1" ht="25.5" customHeight="1">
      <c r="A24" s="6"/>
      <c r="B24" s="78" t="s">
        <v>143</v>
      </c>
      <c r="C24" s="78" t="s">
        <v>189</v>
      </c>
      <c r="D24" s="78"/>
      <c r="E24" s="79" t="s">
        <v>144</v>
      </c>
      <c r="F24" s="11">
        <f>F25</f>
        <v>21888200</v>
      </c>
      <c r="G24" s="11">
        <f t="shared" ref="G24:P24" si="15">G25</f>
        <v>21888200</v>
      </c>
      <c r="H24" s="11">
        <f t="shared" si="15"/>
        <v>17942000</v>
      </c>
      <c r="I24" s="11">
        <f>I25</f>
        <v>0</v>
      </c>
      <c r="J24" s="11">
        <f t="shared" si="15"/>
        <v>0</v>
      </c>
      <c r="K24" s="11">
        <f t="shared" si="15"/>
        <v>0</v>
      </c>
      <c r="L24" s="11">
        <f t="shared" si="15"/>
        <v>0</v>
      </c>
      <c r="M24" s="11">
        <f t="shared" si="15"/>
        <v>0</v>
      </c>
      <c r="N24" s="11">
        <f t="shared" si="15"/>
        <v>0</v>
      </c>
      <c r="O24" s="11">
        <f t="shared" si="15"/>
        <v>0</v>
      </c>
      <c r="P24" s="11">
        <f t="shared" si="15"/>
        <v>0</v>
      </c>
      <c r="Q24" s="11">
        <f t="shared" ref="Q24" si="16">F24+K24</f>
        <v>21888200</v>
      </c>
    </row>
    <row r="25" spans="1:18" s="7" customFormat="1" ht="28.5" customHeight="1">
      <c r="A25" s="6"/>
      <c r="B25" s="78" t="s">
        <v>142</v>
      </c>
      <c r="C25" s="78" t="s">
        <v>141</v>
      </c>
      <c r="D25" s="78" t="s">
        <v>22</v>
      </c>
      <c r="E25" s="79" t="s">
        <v>140</v>
      </c>
      <c r="F25" s="11">
        <f>F26</f>
        <v>21888200</v>
      </c>
      <c r="G25" s="11">
        <f>G26</f>
        <v>21888200</v>
      </c>
      <c r="H25" s="11">
        <f>H26</f>
        <v>17942000</v>
      </c>
      <c r="I25" s="11">
        <f>I26</f>
        <v>0</v>
      </c>
      <c r="J25" s="11">
        <f t="shared" ref="J25:P25" si="17">J26</f>
        <v>0</v>
      </c>
      <c r="K25" s="11">
        <f t="shared" si="17"/>
        <v>0</v>
      </c>
      <c r="L25" s="11">
        <f t="shared" si="17"/>
        <v>0</v>
      </c>
      <c r="M25" s="11">
        <f t="shared" si="17"/>
        <v>0</v>
      </c>
      <c r="N25" s="11">
        <f t="shared" si="17"/>
        <v>0</v>
      </c>
      <c r="O25" s="11">
        <f t="shared" si="17"/>
        <v>0</v>
      </c>
      <c r="P25" s="11">
        <f t="shared" si="17"/>
        <v>0</v>
      </c>
      <c r="Q25" s="11">
        <f>Q26+Q27</f>
        <v>21888200</v>
      </c>
    </row>
    <row r="26" spans="1:18" s="7" customFormat="1" ht="33" customHeight="1">
      <c r="A26" s="6"/>
      <c r="B26" s="142"/>
      <c r="C26" s="142"/>
      <c r="D26" s="142"/>
      <c r="E26" s="80" t="s">
        <v>23</v>
      </c>
      <c r="F26" s="5">
        <f>G26</f>
        <v>21888200</v>
      </c>
      <c r="G26" s="25">
        <v>21888200</v>
      </c>
      <c r="H26" s="25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</row>
    <row r="27" spans="1:18" s="7" customFormat="1" ht="0.75" customHeight="1">
      <c r="A27" s="6"/>
      <c r="B27" s="142"/>
      <c r="C27" s="142"/>
      <c r="D27" s="142"/>
      <c r="E27" s="8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 s="7" customFormat="1" ht="29.25" hidden="1" customHeight="1">
      <c r="A28" s="6"/>
      <c r="B28" s="142"/>
      <c r="C28" s="142"/>
      <c r="D28" s="142"/>
      <c r="E28" s="8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s="7" customFormat="1" ht="30" hidden="1" customHeight="1">
      <c r="A29" s="6"/>
      <c r="B29" s="142"/>
      <c r="C29" s="142"/>
      <c r="D29" s="142"/>
      <c r="E29" s="8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s="7" customFormat="1" ht="19.5" customHeight="1">
      <c r="A30" s="6"/>
      <c r="B30" s="170" t="s">
        <v>64</v>
      </c>
      <c r="C30" s="170" t="s">
        <v>65</v>
      </c>
      <c r="D30" s="170" t="s">
        <v>66</v>
      </c>
      <c r="E30" s="170" t="s">
        <v>67</v>
      </c>
      <c r="F30" s="168" t="s">
        <v>5</v>
      </c>
      <c r="G30" s="168"/>
      <c r="H30" s="168"/>
      <c r="I30" s="168"/>
      <c r="J30" s="168"/>
      <c r="K30" s="168" t="s">
        <v>2</v>
      </c>
      <c r="L30" s="168"/>
      <c r="M30" s="168"/>
      <c r="N30" s="168"/>
      <c r="O30" s="168"/>
      <c r="P30" s="168"/>
      <c r="Q30" s="168" t="s">
        <v>4</v>
      </c>
    </row>
    <row r="31" spans="1:18" s="7" customFormat="1" ht="58.15" customHeight="1">
      <c r="A31" s="6"/>
      <c r="B31" s="170"/>
      <c r="C31" s="170"/>
      <c r="D31" s="170"/>
      <c r="E31" s="170"/>
      <c r="F31" s="168" t="s">
        <v>60</v>
      </c>
      <c r="G31" s="169" t="s">
        <v>6</v>
      </c>
      <c r="H31" s="170" t="s">
        <v>7</v>
      </c>
      <c r="I31" s="170"/>
      <c r="J31" s="169" t="s">
        <v>8</v>
      </c>
      <c r="K31" s="168" t="s">
        <v>60</v>
      </c>
      <c r="L31" s="169" t="s">
        <v>61</v>
      </c>
      <c r="M31" s="169" t="s">
        <v>6</v>
      </c>
      <c r="N31" s="170" t="s">
        <v>7</v>
      </c>
      <c r="O31" s="170"/>
      <c r="P31" s="169" t="s">
        <v>8</v>
      </c>
      <c r="Q31" s="168"/>
    </row>
    <row r="32" spans="1:18" s="7" customFormat="1" ht="48.75" customHeight="1">
      <c r="A32" s="6"/>
      <c r="B32" s="170"/>
      <c r="C32" s="170"/>
      <c r="D32" s="170"/>
      <c r="E32" s="170"/>
      <c r="F32" s="168"/>
      <c r="G32" s="169"/>
      <c r="H32" s="142" t="s">
        <v>9</v>
      </c>
      <c r="I32" s="142" t="s">
        <v>10</v>
      </c>
      <c r="J32" s="169"/>
      <c r="K32" s="168"/>
      <c r="L32" s="169"/>
      <c r="M32" s="169"/>
      <c r="N32" s="142" t="s">
        <v>9</v>
      </c>
      <c r="O32" s="142" t="s">
        <v>10</v>
      </c>
      <c r="P32" s="169"/>
      <c r="Q32" s="168"/>
    </row>
    <row r="33" spans="1:17" s="7" customFormat="1" ht="13.5" customHeight="1">
      <c r="A33" s="6"/>
      <c r="B33" s="142">
        <v>1</v>
      </c>
      <c r="C33" s="142">
        <v>2</v>
      </c>
      <c r="D33" s="142">
        <v>3</v>
      </c>
      <c r="E33" s="142">
        <v>4</v>
      </c>
      <c r="F33" s="140">
        <v>5</v>
      </c>
      <c r="G33" s="141">
        <v>6</v>
      </c>
      <c r="H33" s="142">
        <v>7</v>
      </c>
      <c r="I33" s="142">
        <v>8</v>
      </c>
      <c r="J33" s="141">
        <v>9</v>
      </c>
      <c r="K33" s="142">
        <v>10</v>
      </c>
      <c r="L33" s="141">
        <v>11</v>
      </c>
      <c r="M33" s="141">
        <v>12</v>
      </c>
      <c r="N33" s="142">
        <v>13</v>
      </c>
      <c r="O33" s="142">
        <v>14</v>
      </c>
      <c r="P33" s="141">
        <v>15</v>
      </c>
      <c r="Q33" s="140">
        <v>16</v>
      </c>
    </row>
    <row r="34" spans="1:17" s="23" customFormat="1" ht="93" customHeight="1">
      <c r="A34" s="21"/>
      <c r="B34" s="84" t="s">
        <v>190</v>
      </c>
      <c r="C34" s="85">
        <v>1060</v>
      </c>
      <c r="D34" s="84"/>
      <c r="E34" s="86" t="s">
        <v>191</v>
      </c>
      <c r="F34" s="87">
        <f>F35</f>
        <v>747465</v>
      </c>
      <c r="G34" s="87">
        <f t="shared" ref="G34:Q34" si="18">G35</f>
        <v>747465</v>
      </c>
      <c r="H34" s="87">
        <f t="shared" si="18"/>
        <v>0</v>
      </c>
      <c r="I34" s="87">
        <f t="shared" si="18"/>
        <v>0</v>
      </c>
      <c r="J34" s="87">
        <f t="shared" si="18"/>
        <v>0</v>
      </c>
      <c r="K34" s="87">
        <f t="shared" si="18"/>
        <v>1816627</v>
      </c>
      <c r="L34" s="87">
        <f t="shared" si="18"/>
        <v>1816627</v>
      </c>
      <c r="M34" s="87">
        <f t="shared" si="18"/>
        <v>0</v>
      </c>
      <c r="N34" s="87">
        <f t="shared" si="18"/>
        <v>0</v>
      </c>
      <c r="O34" s="87">
        <f t="shared" si="18"/>
        <v>0</v>
      </c>
      <c r="P34" s="87">
        <f t="shared" si="18"/>
        <v>1816627</v>
      </c>
      <c r="Q34" s="87">
        <f t="shared" si="18"/>
        <v>2564092</v>
      </c>
    </row>
    <row r="35" spans="1:17" s="23" customFormat="1" ht="24.75" customHeight="1">
      <c r="A35" s="21"/>
      <c r="B35" s="84" t="s">
        <v>181</v>
      </c>
      <c r="C35" s="85">
        <v>1061</v>
      </c>
      <c r="D35" s="84" t="s">
        <v>22</v>
      </c>
      <c r="E35" s="86" t="s">
        <v>140</v>
      </c>
      <c r="F35" s="87">
        <f>F36</f>
        <v>747465</v>
      </c>
      <c r="G35" s="87">
        <f t="shared" ref="G35:J35" si="19">G36</f>
        <v>747465</v>
      </c>
      <c r="H35" s="87">
        <f t="shared" si="19"/>
        <v>0</v>
      </c>
      <c r="I35" s="87">
        <f t="shared" si="19"/>
        <v>0</v>
      </c>
      <c r="J35" s="87">
        <f t="shared" si="19"/>
        <v>0</v>
      </c>
      <c r="K35" s="87">
        <f t="shared" ref="K35" si="20">K36</f>
        <v>1816627</v>
      </c>
      <c r="L35" s="87">
        <f t="shared" ref="L35" si="21">L36</f>
        <v>1816627</v>
      </c>
      <c r="M35" s="87">
        <f t="shared" ref="M35" si="22">M36</f>
        <v>0</v>
      </c>
      <c r="N35" s="87">
        <f t="shared" ref="N35" si="23">N36</f>
        <v>0</v>
      </c>
      <c r="O35" s="87">
        <f t="shared" ref="O35" si="24">O36</f>
        <v>0</v>
      </c>
      <c r="P35" s="87">
        <f t="shared" ref="P35:Q35" si="25">P36</f>
        <v>1816627</v>
      </c>
      <c r="Q35" s="88">
        <f t="shared" si="25"/>
        <v>2564092</v>
      </c>
    </row>
    <row r="36" spans="1:17" s="20" customFormat="1" ht="19.5" customHeight="1">
      <c r="A36" s="19"/>
      <c r="B36" s="84"/>
      <c r="C36" s="85"/>
      <c r="D36" s="84"/>
      <c r="E36" s="89" t="s">
        <v>186</v>
      </c>
      <c r="F36" s="5">
        <f>G35</f>
        <v>747465</v>
      </c>
      <c r="G36" s="25">
        <f>570000+158482+11590+7393</f>
        <v>747465</v>
      </c>
      <c r="H36" s="90">
        <v>0</v>
      </c>
      <c r="I36" s="90">
        <v>0</v>
      </c>
      <c r="J36" s="5">
        <v>0</v>
      </c>
      <c r="K36" s="5">
        <f>L36</f>
        <v>1816627</v>
      </c>
      <c r="L36" s="25">
        <f>976600+50000+189010+620000-11590-7393</f>
        <v>1816627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1816627</v>
      </c>
      <c r="Q36" s="11">
        <f>K36+F36</f>
        <v>2564092</v>
      </c>
    </row>
    <row r="37" spans="1:17" s="7" customFormat="1" ht="27" customHeight="1">
      <c r="A37" s="6"/>
      <c r="B37" s="78" t="s">
        <v>147</v>
      </c>
      <c r="C37" s="142">
        <v>1160</v>
      </c>
      <c r="D37" s="78" t="s">
        <v>148</v>
      </c>
      <c r="E37" s="79" t="s">
        <v>149</v>
      </c>
      <c r="F37" s="5">
        <f>G37</f>
        <v>747534</v>
      </c>
      <c r="G37" s="90">
        <f>G38+G39</f>
        <v>747534</v>
      </c>
      <c r="H37" s="90">
        <f>H38+H39</f>
        <v>498601</v>
      </c>
      <c r="I37" s="90">
        <f>I38+I39</f>
        <v>14609</v>
      </c>
      <c r="J37" s="5">
        <f t="shared" ref="J37:P37" si="26">J38</f>
        <v>0</v>
      </c>
      <c r="K37" s="5">
        <f t="shared" si="26"/>
        <v>0</v>
      </c>
      <c r="L37" s="5">
        <f t="shared" si="26"/>
        <v>0</v>
      </c>
      <c r="M37" s="5">
        <f t="shared" si="26"/>
        <v>0</v>
      </c>
      <c r="N37" s="5">
        <f t="shared" si="26"/>
        <v>0</v>
      </c>
      <c r="O37" s="5">
        <f t="shared" si="26"/>
        <v>0</v>
      </c>
      <c r="P37" s="5">
        <f t="shared" si="26"/>
        <v>0</v>
      </c>
      <c r="Q37" s="11">
        <f>K37+F37</f>
        <v>747534</v>
      </c>
    </row>
    <row r="38" spans="1:17" s="34" customFormat="1" ht="27" customHeight="1">
      <c r="A38" s="33"/>
      <c r="B38" s="91"/>
      <c r="C38" s="141"/>
      <c r="D38" s="91"/>
      <c r="E38" s="80" t="str">
        <f>E18</f>
        <v>в т.ч.  за рахунок коштів місцевого бюджету</v>
      </c>
      <c r="F38" s="5">
        <f>G38</f>
        <v>284000</v>
      </c>
      <c r="G38" s="25">
        <f>190000+108970+55030-70000</f>
        <v>284000</v>
      </c>
      <c r="H38" s="25">
        <f>144000+79760-59160+6371</f>
        <v>170971</v>
      </c>
      <c r="I38" s="25">
        <f>2000+1000+2000+4910-3504-367</f>
        <v>6039</v>
      </c>
      <c r="J38" s="5">
        <f t="shared" ref="F38:P53" si="27">J39</f>
        <v>0</v>
      </c>
      <c r="K38" s="5">
        <f t="shared" si="27"/>
        <v>0</v>
      </c>
      <c r="L38" s="5">
        <f t="shared" si="27"/>
        <v>0</v>
      </c>
      <c r="M38" s="5">
        <f t="shared" si="27"/>
        <v>0</v>
      </c>
      <c r="N38" s="5">
        <f t="shared" si="27"/>
        <v>0</v>
      </c>
      <c r="O38" s="5">
        <f t="shared" si="27"/>
        <v>0</v>
      </c>
      <c r="P38" s="5">
        <f t="shared" si="27"/>
        <v>0</v>
      </c>
      <c r="Q38" s="5">
        <f t="shared" ref="Q38:Q43" si="28">K38+F38</f>
        <v>284000</v>
      </c>
    </row>
    <row r="39" spans="1:17" s="34" customFormat="1" ht="27" customHeight="1">
      <c r="A39" s="33"/>
      <c r="B39" s="91"/>
      <c r="C39" s="141"/>
      <c r="D39" s="91"/>
      <c r="E39" s="80" t="s">
        <v>150</v>
      </c>
      <c r="F39" s="5">
        <f>G39</f>
        <v>463534</v>
      </c>
      <c r="G39" s="25">
        <f>304140-108970+188364+80000</f>
        <v>463534</v>
      </c>
      <c r="H39" s="25">
        <f>309110+18520</f>
        <v>327630</v>
      </c>
      <c r="I39" s="25">
        <f>18000+2300+8000-4910+12200-9500-3200-1133-10000-2496-691</f>
        <v>8570</v>
      </c>
      <c r="J39" s="5">
        <f t="shared" ref="J39:P39" si="29">J44</f>
        <v>0</v>
      </c>
      <c r="K39" s="5">
        <f t="shared" si="29"/>
        <v>0</v>
      </c>
      <c r="L39" s="5">
        <f t="shared" si="29"/>
        <v>0</v>
      </c>
      <c r="M39" s="5">
        <f t="shared" si="29"/>
        <v>0</v>
      </c>
      <c r="N39" s="5">
        <f t="shared" si="29"/>
        <v>0</v>
      </c>
      <c r="O39" s="5">
        <f t="shared" si="29"/>
        <v>0</v>
      </c>
      <c r="P39" s="5">
        <f t="shared" si="29"/>
        <v>0</v>
      </c>
      <c r="Q39" s="5">
        <f t="shared" si="28"/>
        <v>463534</v>
      </c>
    </row>
    <row r="40" spans="1:17" s="23" customFormat="1" ht="42.75" customHeight="1">
      <c r="A40" s="21"/>
      <c r="B40" s="84" t="s">
        <v>223</v>
      </c>
      <c r="C40" s="85">
        <v>1180</v>
      </c>
      <c r="D40" s="84"/>
      <c r="E40" s="94" t="s">
        <v>226</v>
      </c>
      <c r="F40" s="22">
        <f>F41+F42</f>
        <v>250403</v>
      </c>
      <c r="G40" s="22">
        <f t="shared" ref="G40:P40" si="30">G41+G42</f>
        <v>250403</v>
      </c>
      <c r="H40" s="22">
        <f t="shared" si="30"/>
        <v>4463</v>
      </c>
      <c r="I40" s="22">
        <f t="shared" si="30"/>
        <v>0</v>
      </c>
      <c r="J40" s="22">
        <f t="shared" si="30"/>
        <v>0</v>
      </c>
      <c r="K40" s="22">
        <f t="shared" si="30"/>
        <v>81358</v>
      </c>
      <c r="L40" s="22">
        <f t="shared" si="30"/>
        <v>81358</v>
      </c>
      <c r="M40" s="22">
        <f t="shared" si="30"/>
        <v>0</v>
      </c>
      <c r="N40" s="22">
        <f t="shared" si="30"/>
        <v>0</v>
      </c>
      <c r="O40" s="22">
        <f t="shared" si="30"/>
        <v>0</v>
      </c>
      <c r="P40" s="22">
        <f t="shared" si="30"/>
        <v>81358</v>
      </c>
      <c r="Q40" s="28">
        <f>K40+F40</f>
        <v>331761</v>
      </c>
    </row>
    <row r="41" spans="1:17" s="23" customFormat="1" ht="64.5" customHeight="1">
      <c r="A41" s="21"/>
      <c r="B41" s="84" t="s">
        <v>224</v>
      </c>
      <c r="C41" s="85">
        <v>1181</v>
      </c>
      <c r="D41" s="84" t="s">
        <v>148</v>
      </c>
      <c r="E41" s="94" t="s">
        <v>227</v>
      </c>
      <c r="F41" s="22">
        <f>G41</f>
        <v>20000</v>
      </c>
      <c r="G41" s="32">
        <v>20000</v>
      </c>
      <c r="H41" s="87">
        <v>0</v>
      </c>
      <c r="I41" s="87">
        <v>0</v>
      </c>
      <c r="J41" s="28">
        <f t="shared" ref="J41:O41" si="31">J46</f>
        <v>0</v>
      </c>
      <c r="K41" s="28">
        <f>L41</f>
        <v>10000</v>
      </c>
      <c r="L41" s="83">
        <v>10000</v>
      </c>
      <c r="M41" s="28">
        <f t="shared" si="31"/>
        <v>0</v>
      </c>
      <c r="N41" s="28">
        <f t="shared" si="31"/>
        <v>0</v>
      </c>
      <c r="O41" s="28">
        <f t="shared" si="31"/>
        <v>0</v>
      </c>
      <c r="P41" s="28">
        <f>L41</f>
        <v>10000</v>
      </c>
      <c r="Q41" s="28">
        <f>K41+F41</f>
        <v>30000</v>
      </c>
    </row>
    <row r="42" spans="1:17" s="23" customFormat="1" ht="56.25" customHeight="1">
      <c r="A42" s="21"/>
      <c r="B42" s="84" t="s">
        <v>225</v>
      </c>
      <c r="C42" s="85">
        <v>1182</v>
      </c>
      <c r="D42" s="84" t="s">
        <v>148</v>
      </c>
      <c r="E42" s="94" t="s">
        <v>228</v>
      </c>
      <c r="F42" s="22">
        <f t="shared" ref="F42:F43" si="32">G42</f>
        <v>230403</v>
      </c>
      <c r="G42" s="87">
        <f>G43</f>
        <v>230403</v>
      </c>
      <c r="H42" s="87">
        <f t="shared" ref="H42:I42" si="33">H43</f>
        <v>4463</v>
      </c>
      <c r="I42" s="87">
        <f t="shared" si="33"/>
        <v>0</v>
      </c>
      <c r="J42" s="28">
        <f>J51</f>
        <v>0</v>
      </c>
      <c r="K42" s="28">
        <f>K43</f>
        <v>71358</v>
      </c>
      <c r="L42" s="28">
        <f>L43</f>
        <v>71358</v>
      </c>
      <c r="M42" s="28">
        <f t="shared" ref="M42:O43" si="34">M51</f>
        <v>0</v>
      </c>
      <c r="N42" s="28">
        <f t="shared" si="34"/>
        <v>0</v>
      </c>
      <c r="O42" s="28">
        <f t="shared" si="34"/>
        <v>0</v>
      </c>
      <c r="P42" s="28">
        <f>P43</f>
        <v>71358</v>
      </c>
      <c r="Q42" s="28">
        <f t="shared" si="28"/>
        <v>301761</v>
      </c>
    </row>
    <row r="43" spans="1:17" s="34" customFormat="1" ht="55.5" customHeight="1">
      <c r="A43" s="33"/>
      <c r="B43" s="91"/>
      <c r="C43" s="146"/>
      <c r="D43" s="91"/>
      <c r="E43" s="80" t="s">
        <v>229</v>
      </c>
      <c r="F43" s="22">
        <f t="shared" si="32"/>
        <v>230403</v>
      </c>
      <c r="G43" s="25">
        <f>152869+77534</f>
        <v>230403</v>
      </c>
      <c r="H43" s="25">
        <f>1217+3246</f>
        <v>4463</v>
      </c>
      <c r="I43" s="90">
        <v>0</v>
      </c>
      <c r="J43" s="5">
        <v>0</v>
      </c>
      <c r="K43" s="5">
        <f>L43</f>
        <v>71358</v>
      </c>
      <c r="L43" s="25">
        <v>71358</v>
      </c>
      <c r="M43" s="5">
        <f t="shared" si="34"/>
        <v>0</v>
      </c>
      <c r="N43" s="5">
        <f t="shared" si="34"/>
        <v>0</v>
      </c>
      <c r="O43" s="5">
        <f t="shared" si="34"/>
        <v>0</v>
      </c>
      <c r="P43" s="5">
        <f>L43</f>
        <v>71358</v>
      </c>
      <c r="Q43" s="5">
        <f t="shared" si="28"/>
        <v>301761</v>
      </c>
    </row>
    <row r="44" spans="1:17" s="7" customFormat="1" ht="49.5" customHeight="1">
      <c r="A44" s="6"/>
      <c r="B44" s="78" t="s">
        <v>145</v>
      </c>
      <c r="C44" s="142">
        <v>1200</v>
      </c>
      <c r="D44" s="78" t="s">
        <v>148</v>
      </c>
      <c r="E44" s="79" t="s">
        <v>146</v>
      </c>
      <c r="F44" s="11">
        <f>G44</f>
        <v>190717</v>
      </c>
      <c r="G44" s="92">
        <f t="shared" ref="G44:P44" si="35">G45</f>
        <v>190717</v>
      </c>
      <c r="H44" s="92">
        <f t="shared" si="35"/>
        <v>101970</v>
      </c>
      <c r="I44" s="11">
        <f t="shared" si="35"/>
        <v>0</v>
      </c>
      <c r="J44" s="11">
        <f t="shared" si="35"/>
        <v>0</v>
      </c>
      <c r="K44" s="11">
        <f t="shared" si="35"/>
        <v>0</v>
      </c>
      <c r="L44" s="11">
        <f t="shared" si="35"/>
        <v>0</v>
      </c>
      <c r="M44" s="11">
        <f t="shared" si="35"/>
        <v>0</v>
      </c>
      <c r="N44" s="11">
        <f t="shared" si="35"/>
        <v>0</v>
      </c>
      <c r="O44" s="11">
        <f t="shared" si="35"/>
        <v>0</v>
      </c>
      <c r="P44" s="11">
        <f t="shared" si="35"/>
        <v>0</v>
      </c>
      <c r="Q44" s="11">
        <f t="shared" si="6"/>
        <v>190717</v>
      </c>
    </row>
    <row r="45" spans="1:17" s="7" customFormat="1" ht="51.75" customHeight="1">
      <c r="A45" s="6"/>
      <c r="B45" s="142"/>
      <c r="C45" s="142"/>
      <c r="D45" s="142"/>
      <c r="E45" s="80" t="s">
        <v>174</v>
      </c>
      <c r="F45" s="5">
        <f>G45</f>
        <v>190717</v>
      </c>
      <c r="G45" s="24">
        <f>62197+128520</f>
        <v>190717</v>
      </c>
      <c r="H45" s="24">
        <f>40700+8550+52720</f>
        <v>101970</v>
      </c>
      <c r="I45" s="11">
        <f t="shared" ref="I45:P46" si="36">I51</f>
        <v>0</v>
      </c>
      <c r="J45" s="11">
        <f t="shared" si="36"/>
        <v>0</v>
      </c>
      <c r="K45" s="11">
        <f t="shared" si="36"/>
        <v>0</v>
      </c>
      <c r="L45" s="11">
        <f t="shared" si="36"/>
        <v>0</v>
      </c>
      <c r="M45" s="11">
        <f t="shared" si="36"/>
        <v>0</v>
      </c>
      <c r="N45" s="11">
        <f t="shared" si="36"/>
        <v>0</v>
      </c>
      <c r="O45" s="11">
        <f t="shared" si="36"/>
        <v>0</v>
      </c>
      <c r="P45" s="11">
        <f t="shared" si="36"/>
        <v>0</v>
      </c>
      <c r="Q45" s="11">
        <f t="shared" si="6"/>
        <v>190717</v>
      </c>
    </row>
    <row r="46" spans="1:17" s="7" customFormat="1" ht="51.75" customHeight="1">
      <c r="A46" s="6"/>
      <c r="B46" s="142" t="s">
        <v>203</v>
      </c>
      <c r="C46" s="142" t="s">
        <v>204</v>
      </c>
      <c r="D46" s="142" t="s">
        <v>148</v>
      </c>
      <c r="E46" s="79" t="s">
        <v>205</v>
      </c>
      <c r="F46" s="11">
        <v>58110.7</v>
      </c>
      <c r="G46" s="24">
        <v>58110.7</v>
      </c>
      <c r="H46" s="24">
        <v>47630</v>
      </c>
      <c r="I46" s="11">
        <f t="shared" si="36"/>
        <v>0</v>
      </c>
      <c r="J46" s="11">
        <f t="shared" si="36"/>
        <v>0</v>
      </c>
      <c r="K46" s="11">
        <f t="shared" si="36"/>
        <v>0</v>
      </c>
      <c r="L46" s="11">
        <f t="shared" si="36"/>
        <v>0</v>
      </c>
      <c r="M46" s="11">
        <f t="shared" si="36"/>
        <v>0</v>
      </c>
      <c r="N46" s="11">
        <f t="shared" si="36"/>
        <v>0</v>
      </c>
      <c r="O46" s="11">
        <f t="shared" si="36"/>
        <v>0</v>
      </c>
      <c r="P46" s="11">
        <f t="shared" si="36"/>
        <v>0</v>
      </c>
      <c r="Q46" s="11">
        <f t="shared" ref="Q46" si="37">F46+K46</f>
        <v>58110.7</v>
      </c>
    </row>
    <row r="47" spans="1:17" s="7" customFormat="1" ht="15" customHeight="1">
      <c r="A47" s="6"/>
      <c r="B47" s="170" t="s">
        <v>64</v>
      </c>
      <c r="C47" s="170" t="s">
        <v>65</v>
      </c>
      <c r="D47" s="170" t="s">
        <v>66</v>
      </c>
      <c r="E47" s="170" t="s">
        <v>67</v>
      </c>
      <c r="F47" s="168" t="s">
        <v>5</v>
      </c>
      <c r="G47" s="168"/>
      <c r="H47" s="168"/>
      <c r="I47" s="168"/>
      <c r="J47" s="168"/>
      <c r="K47" s="168" t="s">
        <v>2</v>
      </c>
      <c r="L47" s="168"/>
      <c r="M47" s="168"/>
      <c r="N47" s="168"/>
      <c r="O47" s="168"/>
      <c r="P47" s="168"/>
      <c r="Q47" s="168" t="s">
        <v>4</v>
      </c>
    </row>
    <row r="48" spans="1:17" s="7" customFormat="1" ht="58.15" customHeight="1">
      <c r="A48" s="6"/>
      <c r="B48" s="170"/>
      <c r="C48" s="170"/>
      <c r="D48" s="170"/>
      <c r="E48" s="170"/>
      <c r="F48" s="168" t="s">
        <v>60</v>
      </c>
      <c r="G48" s="169" t="s">
        <v>6</v>
      </c>
      <c r="H48" s="170" t="s">
        <v>7</v>
      </c>
      <c r="I48" s="170"/>
      <c r="J48" s="169" t="s">
        <v>8</v>
      </c>
      <c r="K48" s="168" t="s">
        <v>60</v>
      </c>
      <c r="L48" s="169" t="s">
        <v>61</v>
      </c>
      <c r="M48" s="169" t="s">
        <v>6</v>
      </c>
      <c r="N48" s="170" t="s">
        <v>7</v>
      </c>
      <c r="O48" s="170"/>
      <c r="P48" s="169" t="s">
        <v>8</v>
      </c>
      <c r="Q48" s="168"/>
    </row>
    <row r="49" spans="1:17" s="7" customFormat="1" ht="33" customHeight="1">
      <c r="A49" s="6"/>
      <c r="B49" s="170"/>
      <c r="C49" s="170"/>
      <c r="D49" s="170"/>
      <c r="E49" s="170"/>
      <c r="F49" s="168"/>
      <c r="G49" s="169"/>
      <c r="H49" s="142" t="s">
        <v>9</v>
      </c>
      <c r="I49" s="142" t="s">
        <v>10</v>
      </c>
      <c r="J49" s="169"/>
      <c r="K49" s="168"/>
      <c r="L49" s="169"/>
      <c r="M49" s="169"/>
      <c r="N49" s="142" t="s">
        <v>9</v>
      </c>
      <c r="O49" s="142" t="s">
        <v>10</v>
      </c>
      <c r="P49" s="169"/>
      <c r="Q49" s="168"/>
    </row>
    <row r="50" spans="1:17" s="7" customFormat="1" ht="13.5" customHeight="1">
      <c r="A50" s="6"/>
      <c r="B50" s="142">
        <v>1</v>
      </c>
      <c r="C50" s="142">
        <v>2</v>
      </c>
      <c r="D50" s="142">
        <v>3</v>
      </c>
      <c r="E50" s="142">
        <v>4</v>
      </c>
      <c r="F50" s="140">
        <v>5</v>
      </c>
      <c r="G50" s="141">
        <v>6</v>
      </c>
      <c r="H50" s="142">
        <v>7</v>
      </c>
      <c r="I50" s="142">
        <v>8</v>
      </c>
      <c r="J50" s="141">
        <v>9</v>
      </c>
      <c r="K50" s="140">
        <v>10</v>
      </c>
      <c r="L50" s="141">
        <v>11</v>
      </c>
      <c r="M50" s="141">
        <v>12</v>
      </c>
      <c r="N50" s="142">
        <v>13</v>
      </c>
      <c r="O50" s="142">
        <v>14</v>
      </c>
      <c r="P50" s="141">
        <v>15</v>
      </c>
      <c r="Q50" s="140">
        <v>16</v>
      </c>
    </row>
    <row r="51" spans="1:17" s="7" customFormat="1" ht="16.149999999999999" customHeight="1">
      <c r="A51" s="6"/>
      <c r="B51" s="140"/>
      <c r="C51" s="140">
        <v>2000</v>
      </c>
      <c r="D51" s="140"/>
      <c r="E51" s="93" t="s">
        <v>83</v>
      </c>
      <c r="F51" s="44">
        <f t="shared" ref="F51:Q51" si="38">F52+F56+F60</f>
        <v>1514512</v>
      </c>
      <c r="G51" s="44">
        <f t="shared" si="38"/>
        <v>1514512</v>
      </c>
      <c r="H51" s="44">
        <f t="shared" si="38"/>
        <v>0</v>
      </c>
      <c r="I51" s="44">
        <f t="shared" si="38"/>
        <v>0</v>
      </c>
      <c r="J51" s="44">
        <f t="shared" si="38"/>
        <v>0</v>
      </c>
      <c r="K51" s="44">
        <f t="shared" si="38"/>
        <v>0</v>
      </c>
      <c r="L51" s="44">
        <f t="shared" si="38"/>
        <v>0</v>
      </c>
      <c r="M51" s="44">
        <f t="shared" si="38"/>
        <v>0</v>
      </c>
      <c r="N51" s="44">
        <f t="shared" si="38"/>
        <v>0</v>
      </c>
      <c r="O51" s="44">
        <f t="shared" si="38"/>
        <v>0</v>
      </c>
      <c r="P51" s="44">
        <f t="shared" si="38"/>
        <v>0</v>
      </c>
      <c r="Q51" s="44">
        <f t="shared" si="38"/>
        <v>1514512</v>
      </c>
    </row>
    <row r="52" spans="1:17" s="7" customFormat="1" ht="16.149999999999999" customHeight="1">
      <c r="A52" s="6"/>
      <c r="B52" s="78" t="s">
        <v>86</v>
      </c>
      <c r="C52" s="142">
        <v>2110</v>
      </c>
      <c r="D52" s="142"/>
      <c r="E52" s="79" t="s">
        <v>24</v>
      </c>
      <c r="F52" s="11">
        <f t="shared" si="27"/>
        <v>838000</v>
      </c>
      <c r="G52" s="11">
        <f t="shared" si="27"/>
        <v>838000</v>
      </c>
      <c r="H52" s="11">
        <f t="shared" si="27"/>
        <v>0</v>
      </c>
      <c r="I52" s="11">
        <f t="shared" si="27"/>
        <v>0</v>
      </c>
      <c r="J52" s="11">
        <f t="shared" si="27"/>
        <v>0</v>
      </c>
      <c r="K52" s="11">
        <f t="shared" si="27"/>
        <v>0</v>
      </c>
      <c r="L52" s="11">
        <f t="shared" si="27"/>
        <v>0</v>
      </c>
      <c r="M52" s="5">
        <v>0</v>
      </c>
      <c r="N52" s="11">
        <f t="shared" si="27"/>
        <v>0</v>
      </c>
      <c r="O52" s="11">
        <f t="shared" si="27"/>
        <v>0</v>
      </c>
      <c r="P52" s="11">
        <f t="shared" si="27"/>
        <v>0</v>
      </c>
      <c r="Q52" s="11">
        <f t="shared" si="6"/>
        <v>838000</v>
      </c>
    </row>
    <row r="53" spans="1:17" s="7" customFormat="1" ht="37.5" customHeight="1">
      <c r="A53" s="6"/>
      <c r="B53" s="78" t="s">
        <v>25</v>
      </c>
      <c r="C53" s="142">
        <v>2111</v>
      </c>
      <c r="D53" s="142" t="s">
        <v>26</v>
      </c>
      <c r="E53" s="79" t="s">
        <v>27</v>
      </c>
      <c r="F53" s="11">
        <f>G53</f>
        <v>838000</v>
      </c>
      <c r="G53" s="11">
        <f>G54+G55</f>
        <v>838000</v>
      </c>
      <c r="H53" s="11">
        <f>H54</f>
        <v>0</v>
      </c>
      <c r="I53" s="11">
        <f t="shared" si="27"/>
        <v>0</v>
      </c>
      <c r="J53" s="11">
        <f t="shared" si="27"/>
        <v>0</v>
      </c>
      <c r="K53" s="11">
        <f t="shared" si="27"/>
        <v>0</v>
      </c>
      <c r="L53" s="11">
        <f t="shared" si="27"/>
        <v>0</v>
      </c>
      <c r="M53" s="11">
        <f t="shared" si="27"/>
        <v>0</v>
      </c>
      <c r="N53" s="11">
        <f t="shared" si="27"/>
        <v>0</v>
      </c>
      <c r="O53" s="11">
        <f t="shared" si="27"/>
        <v>0</v>
      </c>
      <c r="P53" s="11">
        <f t="shared" si="27"/>
        <v>0</v>
      </c>
      <c r="Q53" s="11">
        <f t="shared" si="6"/>
        <v>838000</v>
      </c>
    </row>
    <row r="54" spans="1:17" s="7" customFormat="1" ht="18" customHeight="1">
      <c r="A54" s="6"/>
      <c r="B54" s="142"/>
      <c r="C54" s="142"/>
      <c r="D54" s="142"/>
      <c r="E54" s="80" t="s">
        <v>19</v>
      </c>
      <c r="F54" s="5">
        <f>G54</f>
        <v>788000</v>
      </c>
      <c r="G54" s="25">
        <f>813000+50000-75000</f>
        <v>788000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788000</v>
      </c>
    </row>
    <row r="55" spans="1:17" s="23" customFormat="1" ht="61.5" customHeight="1">
      <c r="A55" s="21"/>
      <c r="B55" s="85"/>
      <c r="C55" s="85"/>
      <c r="D55" s="85"/>
      <c r="E55" s="82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28">
        <f>G55</f>
        <v>50000</v>
      </c>
      <c r="G55" s="83">
        <v>50000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si="6"/>
        <v>50000</v>
      </c>
    </row>
    <row r="56" spans="1:17" s="23" customFormat="1" ht="30.75" customHeight="1">
      <c r="A56" s="21"/>
      <c r="B56" s="84" t="s">
        <v>152</v>
      </c>
      <c r="C56" s="85"/>
      <c r="D56" s="85"/>
      <c r="E56" s="94" t="s">
        <v>153</v>
      </c>
      <c r="F56" s="28">
        <f>F57</f>
        <v>476512</v>
      </c>
      <c r="G56" s="88">
        <f>G57</f>
        <v>476512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ref="Q56" si="39">F56+K56</f>
        <v>476512</v>
      </c>
    </row>
    <row r="57" spans="1:17" s="23" customFormat="1" ht="28.5" customHeight="1">
      <c r="A57" s="21"/>
      <c r="B57" s="84" t="s">
        <v>151</v>
      </c>
      <c r="C57" s="85">
        <v>2144</v>
      </c>
      <c r="D57" s="84" t="s">
        <v>155</v>
      </c>
      <c r="E57" s="94" t="s">
        <v>154</v>
      </c>
      <c r="F57" s="28">
        <f>G57</f>
        <v>476512</v>
      </c>
      <c r="G57" s="88">
        <f>G58+G59</f>
        <v>476512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f>F57+K57</f>
        <v>476512</v>
      </c>
    </row>
    <row r="58" spans="1:17" s="23" customFormat="1" ht="13.5" hidden="1" customHeight="1">
      <c r="A58" s="21"/>
      <c r="B58" s="84"/>
      <c r="C58" s="85"/>
      <c r="D58" s="85"/>
      <c r="E58" s="82" t="str">
        <f>E54</f>
        <v>в т.ч.  за рахунок коштів місцевого бюджету</v>
      </c>
      <c r="F58" s="28">
        <f>G58</f>
        <v>0</v>
      </c>
      <c r="G58" s="83">
        <f>90000-40000-50000</f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f>F58+K58</f>
        <v>0</v>
      </c>
    </row>
    <row r="59" spans="1:17" s="23" customFormat="1" ht="53.25" customHeight="1">
      <c r="A59" s="21"/>
      <c r="B59" s="85"/>
      <c r="C59" s="85"/>
      <c r="D59" s="85"/>
      <c r="E59" s="82" t="s">
        <v>156</v>
      </c>
      <c r="F59" s="28">
        <f>G59</f>
        <v>476512</v>
      </c>
      <c r="G59" s="83">
        <f>359126+117386</f>
        <v>476512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f>F59+K59</f>
        <v>476512</v>
      </c>
    </row>
    <row r="60" spans="1:17" s="23" customFormat="1" ht="37.5" customHeight="1">
      <c r="A60" s="21"/>
      <c r="B60" s="84" t="s">
        <v>157</v>
      </c>
      <c r="C60" s="85"/>
      <c r="D60" s="85"/>
      <c r="E60" s="94" t="s">
        <v>159</v>
      </c>
      <c r="F60" s="28">
        <f>G60</f>
        <v>200000</v>
      </c>
      <c r="G60" s="88">
        <f>G61</f>
        <v>200000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f t="shared" ref="Q60:Q61" si="40">F60+K60</f>
        <v>200000</v>
      </c>
    </row>
    <row r="61" spans="1:17" s="23" customFormat="1" ht="21" customHeight="1">
      <c r="A61" s="21"/>
      <c r="B61" s="84" t="s">
        <v>158</v>
      </c>
      <c r="C61" s="85">
        <v>2144</v>
      </c>
      <c r="D61" s="84" t="s">
        <v>155</v>
      </c>
      <c r="E61" s="94" t="s">
        <v>160</v>
      </c>
      <c r="F61" s="28">
        <f>G61</f>
        <v>200000</v>
      </c>
      <c r="G61" s="83">
        <v>200000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f t="shared" si="40"/>
        <v>200000</v>
      </c>
    </row>
    <row r="62" spans="1:17" s="36" customFormat="1" ht="30" customHeight="1">
      <c r="A62" s="35"/>
      <c r="B62" s="95"/>
      <c r="C62" s="96">
        <v>3000</v>
      </c>
      <c r="D62" s="96"/>
      <c r="E62" s="93" t="s">
        <v>84</v>
      </c>
      <c r="F62" s="97">
        <f t="shared" ref="F62:Q62" si="41">F63+F75+F77+F81+F78+F67+F69+F80</f>
        <v>2836849</v>
      </c>
      <c r="G62" s="97">
        <f t="shared" si="41"/>
        <v>2836849</v>
      </c>
      <c r="H62" s="97">
        <f t="shared" si="41"/>
        <v>1640000</v>
      </c>
      <c r="I62" s="97">
        <f t="shared" si="41"/>
        <v>80000</v>
      </c>
      <c r="J62" s="97">
        <f t="shared" si="41"/>
        <v>0</v>
      </c>
      <c r="K62" s="97">
        <f t="shared" si="41"/>
        <v>3000</v>
      </c>
      <c r="L62" s="97">
        <f t="shared" si="41"/>
        <v>0</v>
      </c>
      <c r="M62" s="97">
        <f t="shared" si="41"/>
        <v>3000</v>
      </c>
      <c r="N62" s="97">
        <f t="shared" si="41"/>
        <v>0</v>
      </c>
      <c r="O62" s="97">
        <f t="shared" si="41"/>
        <v>0</v>
      </c>
      <c r="P62" s="97">
        <f t="shared" si="41"/>
        <v>0</v>
      </c>
      <c r="Q62" s="97">
        <f t="shared" si="41"/>
        <v>2839849</v>
      </c>
    </row>
    <row r="63" spans="1:17" s="7" customFormat="1" ht="51.75" customHeight="1">
      <c r="A63" s="6"/>
      <c r="B63" s="78" t="s">
        <v>87</v>
      </c>
      <c r="C63" s="78" t="s">
        <v>88</v>
      </c>
      <c r="D63" s="78"/>
      <c r="E63" s="79" t="s">
        <v>89</v>
      </c>
      <c r="F63" s="5">
        <f>F64+F66+F65</f>
        <v>220000</v>
      </c>
      <c r="G63" s="5">
        <f t="shared" ref="G63:Q63" si="42">G64+G66+G65</f>
        <v>220000</v>
      </c>
      <c r="H63" s="5">
        <f t="shared" si="42"/>
        <v>0</v>
      </c>
      <c r="I63" s="5">
        <f t="shared" si="42"/>
        <v>0</v>
      </c>
      <c r="J63" s="5">
        <f t="shared" si="42"/>
        <v>0</v>
      </c>
      <c r="K63" s="5">
        <f t="shared" si="42"/>
        <v>0</v>
      </c>
      <c r="L63" s="5">
        <f t="shared" si="42"/>
        <v>0</v>
      </c>
      <c r="M63" s="5">
        <f t="shared" si="42"/>
        <v>0</v>
      </c>
      <c r="N63" s="5">
        <f t="shared" si="42"/>
        <v>0</v>
      </c>
      <c r="O63" s="5">
        <f t="shared" si="42"/>
        <v>0</v>
      </c>
      <c r="P63" s="5">
        <f t="shared" si="42"/>
        <v>0</v>
      </c>
      <c r="Q63" s="5">
        <f t="shared" si="42"/>
        <v>220000</v>
      </c>
    </row>
    <row r="64" spans="1:17" s="7" customFormat="1" ht="23.45" customHeight="1">
      <c r="A64" s="6"/>
      <c r="B64" s="78" t="s">
        <v>90</v>
      </c>
      <c r="C64" s="78" t="s">
        <v>91</v>
      </c>
      <c r="D64" s="78" t="s">
        <v>92</v>
      </c>
      <c r="E64" s="79" t="s">
        <v>93</v>
      </c>
      <c r="F64" s="5">
        <f>G64</f>
        <v>20000</v>
      </c>
      <c r="G64" s="25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1">
        <f t="shared" si="6"/>
        <v>20000</v>
      </c>
    </row>
    <row r="65" spans="1:17" s="7" customFormat="1" ht="34.5" customHeight="1">
      <c r="A65" s="6"/>
      <c r="B65" s="78" t="s">
        <v>135</v>
      </c>
      <c r="C65" s="78" t="s">
        <v>133</v>
      </c>
      <c r="D65" s="78" t="s">
        <v>92</v>
      </c>
      <c r="E65" s="79" t="s">
        <v>134</v>
      </c>
      <c r="F65" s="5">
        <f>G65</f>
        <v>150000</v>
      </c>
      <c r="G65" s="25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1">
        <f t="shared" si="6"/>
        <v>150000</v>
      </c>
    </row>
    <row r="66" spans="1:17" s="7" customFormat="1" ht="36.75" customHeight="1">
      <c r="A66" s="6"/>
      <c r="B66" s="78" t="s">
        <v>94</v>
      </c>
      <c r="C66" s="78" t="s">
        <v>95</v>
      </c>
      <c r="D66" s="78" t="s">
        <v>92</v>
      </c>
      <c r="E66" s="98" t="s">
        <v>96</v>
      </c>
      <c r="F66" s="5">
        <f>G66</f>
        <v>50000</v>
      </c>
      <c r="G66" s="25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1">
        <f t="shared" si="6"/>
        <v>50000</v>
      </c>
    </row>
    <row r="67" spans="1:17" s="7" customFormat="1" ht="34.5" customHeight="1">
      <c r="A67" s="6"/>
      <c r="B67" s="78" t="s">
        <v>163</v>
      </c>
      <c r="C67" s="78" t="s">
        <v>161</v>
      </c>
      <c r="D67" s="78" t="s">
        <v>92</v>
      </c>
      <c r="E67" s="98" t="s">
        <v>164</v>
      </c>
      <c r="F67" s="5">
        <f>G67</f>
        <v>81432</v>
      </c>
      <c r="G67" s="90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1">
        <f t="shared" ref="Q67:Q74" si="43">F67+K67</f>
        <v>81432</v>
      </c>
    </row>
    <row r="68" spans="1:17" s="7" customFormat="1" ht="27" customHeight="1">
      <c r="A68" s="6"/>
      <c r="B68" s="78"/>
      <c r="C68" s="78"/>
      <c r="D68" s="78"/>
      <c r="E68" s="99" t="str">
        <f>E39</f>
        <v>в. т.ч.  за рахунок субвенції з інших місцевих бюджетів</v>
      </c>
      <c r="F68" s="5">
        <f t="shared" ref="F68:F74" si="44">G68</f>
        <v>81432</v>
      </c>
      <c r="G68" s="25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1">
        <f t="shared" si="43"/>
        <v>81432</v>
      </c>
    </row>
    <row r="69" spans="1:17" s="7" customFormat="1" ht="30.75" customHeight="1">
      <c r="A69" s="6"/>
      <c r="B69" s="78" t="s">
        <v>166</v>
      </c>
      <c r="C69" s="78" t="s">
        <v>162</v>
      </c>
      <c r="D69" s="78" t="s">
        <v>92</v>
      </c>
      <c r="E69" s="98" t="s">
        <v>165</v>
      </c>
      <c r="F69" s="5">
        <f t="shared" si="44"/>
        <v>2037</v>
      </c>
      <c r="G69" s="90">
        <f>G74</f>
        <v>2037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1">
        <f t="shared" si="43"/>
        <v>2037</v>
      </c>
    </row>
    <row r="70" spans="1:17" s="7" customFormat="1" ht="22.5" customHeight="1">
      <c r="A70" s="6"/>
      <c r="B70" s="170" t="s">
        <v>64</v>
      </c>
      <c r="C70" s="170" t="s">
        <v>65</v>
      </c>
      <c r="D70" s="170" t="s">
        <v>66</v>
      </c>
      <c r="E70" s="170" t="s">
        <v>67</v>
      </c>
      <c r="F70" s="168" t="s">
        <v>5</v>
      </c>
      <c r="G70" s="168"/>
      <c r="H70" s="168"/>
      <c r="I70" s="168"/>
      <c r="J70" s="168"/>
      <c r="K70" s="168" t="s">
        <v>2</v>
      </c>
      <c r="L70" s="168"/>
      <c r="M70" s="168"/>
      <c r="N70" s="168"/>
      <c r="O70" s="168"/>
      <c r="P70" s="168"/>
      <c r="Q70" s="168" t="s">
        <v>4</v>
      </c>
    </row>
    <row r="71" spans="1:17" s="7" customFormat="1" ht="18" customHeight="1">
      <c r="A71" s="6"/>
      <c r="B71" s="170"/>
      <c r="C71" s="170"/>
      <c r="D71" s="170"/>
      <c r="E71" s="170"/>
      <c r="F71" s="168" t="s">
        <v>60</v>
      </c>
      <c r="G71" s="169" t="s">
        <v>6</v>
      </c>
      <c r="H71" s="170" t="s">
        <v>7</v>
      </c>
      <c r="I71" s="170"/>
      <c r="J71" s="169" t="s">
        <v>8</v>
      </c>
      <c r="K71" s="168" t="s">
        <v>60</v>
      </c>
      <c r="L71" s="169" t="s">
        <v>61</v>
      </c>
      <c r="M71" s="169" t="s">
        <v>6</v>
      </c>
      <c r="N71" s="170" t="s">
        <v>7</v>
      </c>
      <c r="O71" s="170"/>
      <c r="P71" s="169" t="s">
        <v>8</v>
      </c>
      <c r="Q71" s="168"/>
    </row>
    <row r="72" spans="1:17" s="7" customFormat="1" ht="103.5" customHeight="1">
      <c r="A72" s="6"/>
      <c r="B72" s="170"/>
      <c r="C72" s="170"/>
      <c r="D72" s="170"/>
      <c r="E72" s="170"/>
      <c r="F72" s="168"/>
      <c r="G72" s="169"/>
      <c r="H72" s="142" t="s">
        <v>9</v>
      </c>
      <c r="I72" s="142" t="s">
        <v>10</v>
      </c>
      <c r="J72" s="169"/>
      <c r="K72" s="168"/>
      <c r="L72" s="169"/>
      <c r="M72" s="169"/>
      <c r="N72" s="142" t="s">
        <v>9</v>
      </c>
      <c r="O72" s="142" t="s">
        <v>10</v>
      </c>
      <c r="P72" s="169"/>
      <c r="Q72" s="168"/>
    </row>
    <row r="73" spans="1:17" s="7" customFormat="1" ht="14.25" customHeight="1">
      <c r="A73" s="6"/>
      <c r="B73" s="142">
        <v>1</v>
      </c>
      <c r="C73" s="142">
        <v>2</v>
      </c>
      <c r="D73" s="142">
        <v>3</v>
      </c>
      <c r="E73" s="142">
        <v>4</v>
      </c>
      <c r="F73" s="140">
        <v>5</v>
      </c>
      <c r="G73" s="141">
        <v>6</v>
      </c>
      <c r="H73" s="142">
        <v>7</v>
      </c>
      <c r="I73" s="142">
        <v>8</v>
      </c>
      <c r="J73" s="141">
        <v>9</v>
      </c>
      <c r="K73" s="140">
        <v>10</v>
      </c>
      <c r="L73" s="141">
        <v>11</v>
      </c>
      <c r="M73" s="141">
        <v>12</v>
      </c>
      <c r="N73" s="142">
        <v>13</v>
      </c>
      <c r="O73" s="142">
        <v>14</v>
      </c>
      <c r="P73" s="141">
        <v>15</v>
      </c>
      <c r="Q73" s="140">
        <v>16</v>
      </c>
    </row>
    <row r="74" spans="1:17" s="7" customFormat="1" ht="27.75" customHeight="1">
      <c r="A74" s="6"/>
      <c r="B74" s="78"/>
      <c r="C74" s="78"/>
      <c r="D74" s="78"/>
      <c r="E74" s="99" t="str">
        <f>E68</f>
        <v>в. т.ч.  за рахунок субвенції з інших місцевих бюджетів</v>
      </c>
      <c r="F74" s="5">
        <f t="shared" si="44"/>
        <v>2037</v>
      </c>
      <c r="G74" s="25">
        <f>8148-6111</f>
        <v>2037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1">
        <f t="shared" si="43"/>
        <v>2037</v>
      </c>
    </row>
    <row r="75" spans="1:17" s="15" customFormat="1" ht="52.5" customHeight="1">
      <c r="A75" s="14"/>
      <c r="B75" s="100" t="s">
        <v>28</v>
      </c>
      <c r="C75" s="140" t="s">
        <v>29</v>
      </c>
      <c r="D75" s="140" t="s">
        <v>3</v>
      </c>
      <c r="E75" s="67" t="s">
        <v>30</v>
      </c>
      <c r="F75" s="44">
        <f t="shared" ref="F75:K75" si="45">F76</f>
        <v>2159000</v>
      </c>
      <c r="G75" s="44">
        <f t="shared" si="45"/>
        <v>2159000</v>
      </c>
      <c r="H75" s="44">
        <f t="shared" si="45"/>
        <v>1640000</v>
      </c>
      <c r="I75" s="44">
        <f t="shared" si="45"/>
        <v>80000</v>
      </c>
      <c r="J75" s="44">
        <f t="shared" si="45"/>
        <v>0</v>
      </c>
      <c r="K75" s="44">
        <f t="shared" si="45"/>
        <v>3000</v>
      </c>
      <c r="L75" s="44">
        <v>0</v>
      </c>
      <c r="M75" s="44">
        <f>M76</f>
        <v>3000</v>
      </c>
      <c r="N75" s="44">
        <f>N76</f>
        <v>0</v>
      </c>
      <c r="O75" s="44">
        <f>O76</f>
        <v>0</v>
      </c>
      <c r="P75" s="44">
        <f>P76</f>
        <v>0</v>
      </c>
      <c r="Q75" s="44">
        <f t="shared" si="6"/>
        <v>2162000</v>
      </c>
    </row>
    <row r="76" spans="1:17" s="7" customFormat="1" ht="51.75" customHeight="1">
      <c r="A76" s="6"/>
      <c r="B76" s="78" t="s">
        <v>31</v>
      </c>
      <c r="C76" s="142" t="s">
        <v>32</v>
      </c>
      <c r="D76" s="142" t="s">
        <v>21</v>
      </c>
      <c r="E76" s="79" t="s">
        <v>33</v>
      </c>
      <c r="F76" s="11">
        <f>G76</f>
        <v>2159000</v>
      </c>
      <c r="G76" s="24">
        <v>2159000</v>
      </c>
      <c r="H76" s="24">
        <v>1640000</v>
      </c>
      <c r="I76" s="24">
        <v>80000</v>
      </c>
      <c r="J76" s="11">
        <v>0</v>
      </c>
      <c r="K76" s="11">
        <f>M76</f>
        <v>3000</v>
      </c>
      <c r="L76" s="11">
        <v>0</v>
      </c>
      <c r="M76" s="24">
        <v>3000</v>
      </c>
      <c r="N76" s="11">
        <v>0</v>
      </c>
      <c r="O76" s="11">
        <v>0</v>
      </c>
      <c r="P76" s="11">
        <v>0</v>
      </c>
      <c r="Q76" s="11">
        <f>F76+K76</f>
        <v>2162000</v>
      </c>
    </row>
    <row r="77" spans="1:17" s="10" customFormat="1" ht="57.75" customHeight="1">
      <c r="A77" s="9"/>
      <c r="B77" s="69" t="s">
        <v>97</v>
      </c>
      <c r="C77" s="69" t="s">
        <v>98</v>
      </c>
      <c r="D77" s="69" t="s">
        <v>16</v>
      </c>
      <c r="E77" s="70" t="s">
        <v>99</v>
      </c>
      <c r="F77" s="39">
        <f>G77</f>
        <v>200000</v>
      </c>
      <c r="G77" s="71">
        <f>220000-20000</f>
        <v>200000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11">
        <f>F77+K77</f>
        <v>200000</v>
      </c>
    </row>
    <row r="78" spans="1:17" s="10" customFormat="1" ht="50.25" customHeight="1">
      <c r="A78" s="9"/>
      <c r="B78" s="101" t="s">
        <v>167</v>
      </c>
      <c r="C78" s="69">
        <v>3171</v>
      </c>
      <c r="D78" s="69">
        <v>1010</v>
      </c>
      <c r="E78" s="70" t="s">
        <v>168</v>
      </c>
      <c r="F78" s="39">
        <f>F79</f>
        <v>4380</v>
      </c>
      <c r="G78" s="102">
        <f>G79</f>
        <v>4380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">
        <f t="shared" ref="Q78:Q79" si="46">F78+K78</f>
        <v>4380</v>
      </c>
    </row>
    <row r="79" spans="1:17" s="38" customFormat="1" ht="27" customHeight="1">
      <c r="A79" s="37"/>
      <c r="B79" s="103"/>
      <c r="C79" s="103"/>
      <c r="D79" s="103"/>
      <c r="E79" s="104" t="str">
        <f>E68</f>
        <v>в. т.ч.  за рахунок субвенції з інших місцевих бюджетів</v>
      </c>
      <c r="F79" s="105">
        <f>G79</f>
        <v>4380</v>
      </c>
      <c r="G79" s="106">
        <f>1884+1338+1158</f>
        <v>4380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">
        <f t="shared" si="46"/>
        <v>4380</v>
      </c>
    </row>
    <row r="80" spans="1:17" s="23" customFormat="1" ht="12.75" hidden="1" customHeight="1">
      <c r="A80" s="21"/>
      <c r="B80" s="85" t="s">
        <v>187</v>
      </c>
      <c r="C80" s="85">
        <v>3210</v>
      </c>
      <c r="D80" s="107">
        <v>1050</v>
      </c>
      <c r="E80" s="94" t="s">
        <v>188</v>
      </c>
      <c r="F80" s="22">
        <f>G80</f>
        <v>0</v>
      </c>
      <c r="G80" s="32">
        <f>36600-36600</f>
        <v>0</v>
      </c>
      <c r="H80" s="32">
        <f>30000-30000</f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f>F80+K80</f>
        <v>0</v>
      </c>
    </row>
    <row r="81" spans="1:17" s="7" customFormat="1" ht="17.25" customHeight="1">
      <c r="A81" s="6"/>
      <c r="B81" s="78" t="s">
        <v>34</v>
      </c>
      <c r="C81" s="142">
        <v>3240</v>
      </c>
      <c r="D81" s="108"/>
      <c r="E81" s="79" t="s">
        <v>35</v>
      </c>
      <c r="F81" s="11">
        <f>F82</f>
        <v>170000</v>
      </c>
      <c r="G81" s="11">
        <f>G82</f>
        <v>170000</v>
      </c>
      <c r="H81" s="11">
        <f t="shared" ref="H81:P81" si="47">H82</f>
        <v>0</v>
      </c>
      <c r="I81" s="11">
        <f t="shared" si="47"/>
        <v>0</v>
      </c>
      <c r="J81" s="11">
        <f t="shared" si="47"/>
        <v>0</v>
      </c>
      <c r="K81" s="11">
        <f t="shared" si="47"/>
        <v>0</v>
      </c>
      <c r="L81" s="11">
        <v>0</v>
      </c>
      <c r="M81" s="11">
        <v>0</v>
      </c>
      <c r="N81" s="11">
        <f t="shared" si="47"/>
        <v>0</v>
      </c>
      <c r="O81" s="11">
        <f t="shared" si="47"/>
        <v>0</v>
      </c>
      <c r="P81" s="11">
        <f t="shared" si="47"/>
        <v>0</v>
      </c>
      <c r="Q81" s="11">
        <f t="shared" si="6"/>
        <v>170000</v>
      </c>
    </row>
    <row r="82" spans="1:17" s="7" customFormat="1" ht="25.5" customHeight="1">
      <c r="A82" s="6"/>
      <c r="B82" s="78" t="s">
        <v>36</v>
      </c>
      <c r="C82" s="142">
        <v>3242</v>
      </c>
      <c r="D82" s="142" t="s">
        <v>37</v>
      </c>
      <c r="E82" s="79" t="s">
        <v>38</v>
      </c>
      <c r="F82" s="11">
        <f>G82</f>
        <v>170000</v>
      </c>
      <c r="G82" s="24">
        <f>120000+50000</f>
        <v>170000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f>F82+K82</f>
        <v>170000</v>
      </c>
    </row>
    <row r="83" spans="1:17" s="7" customFormat="1" ht="18" customHeight="1">
      <c r="A83" s="6"/>
      <c r="B83" s="100"/>
      <c r="C83" s="140">
        <v>4000</v>
      </c>
      <c r="D83" s="140"/>
      <c r="E83" s="67" t="s">
        <v>100</v>
      </c>
      <c r="F83" s="44">
        <f t="shared" ref="F83:Q83" si="48">F84+F85+F87</f>
        <v>3000000</v>
      </c>
      <c r="G83" s="44">
        <f t="shared" si="48"/>
        <v>3000000</v>
      </c>
      <c r="H83" s="44">
        <f t="shared" si="48"/>
        <v>1964500</v>
      </c>
      <c r="I83" s="44">
        <f>I84+I85+I87</f>
        <v>357000</v>
      </c>
      <c r="J83" s="44">
        <f t="shared" si="48"/>
        <v>0</v>
      </c>
      <c r="K83" s="44">
        <f t="shared" si="48"/>
        <v>105000</v>
      </c>
      <c r="L83" s="44">
        <f t="shared" si="48"/>
        <v>20000</v>
      </c>
      <c r="M83" s="44">
        <f>M84+M85+M87</f>
        <v>85000</v>
      </c>
      <c r="N83" s="44">
        <f t="shared" si="48"/>
        <v>10000</v>
      </c>
      <c r="O83" s="44">
        <f t="shared" si="48"/>
        <v>0</v>
      </c>
      <c r="P83" s="44">
        <f t="shared" si="48"/>
        <v>20000</v>
      </c>
      <c r="Q83" s="44">
        <f t="shared" si="48"/>
        <v>3105000</v>
      </c>
    </row>
    <row r="84" spans="1:17" s="7" customFormat="1" ht="20.45" customHeight="1">
      <c r="A84" s="6"/>
      <c r="B84" s="78" t="s">
        <v>39</v>
      </c>
      <c r="C84" s="85">
        <v>4030</v>
      </c>
      <c r="D84" s="78" t="s">
        <v>40</v>
      </c>
      <c r="E84" s="79" t="s">
        <v>41</v>
      </c>
      <c r="F84" s="11">
        <f>G84</f>
        <v>305000</v>
      </c>
      <c r="G84" s="24">
        <f>365000-60000</f>
        <v>305000</v>
      </c>
      <c r="H84" s="24">
        <f>240000-38000</f>
        <v>202000</v>
      </c>
      <c r="I84" s="24">
        <f>45000+3000-3000-4000</f>
        <v>41000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f t="shared" si="6"/>
        <v>305000</v>
      </c>
    </row>
    <row r="85" spans="1:17" s="7" customFormat="1" ht="37.5" customHeight="1">
      <c r="A85" s="6"/>
      <c r="B85" s="78" t="s">
        <v>42</v>
      </c>
      <c r="C85" s="85">
        <v>4060</v>
      </c>
      <c r="D85" s="142" t="s">
        <v>43</v>
      </c>
      <c r="E85" s="79" t="s">
        <v>44</v>
      </c>
      <c r="F85" s="11">
        <f>F86</f>
        <v>2678500</v>
      </c>
      <c r="G85" s="11">
        <f t="shared" ref="G85:Q85" si="49">G86</f>
        <v>2678500</v>
      </c>
      <c r="H85" s="11">
        <f t="shared" si="49"/>
        <v>1762500</v>
      </c>
      <c r="I85" s="11">
        <f t="shared" si="49"/>
        <v>316000</v>
      </c>
      <c r="J85" s="11">
        <f t="shared" si="49"/>
        <v>0</v>
      </c>
      <c r="K85" s="11">
        <f t="shared" si="49"/>
        <v>105000</v>
      </c>
      <c r="L85" s="11">
        <f t="shared" si="49"/>
        <v>20000</v>
      </c>
      <c r="M85" s="11">
        <f t="shared" si="49"/>
        <v>85000</v>
      </c>
      <c r="N85" s="11">
        <f t="shared" si="49"/>
        <v>10000</v>
      </c>
      <c r="O85" s="11">
        <f t="shared" si="49"/>
        <v>0</v>
      </c>
      <c r="P85" s="11">
        <f t="shared" si="49"/>
        <v>20000</v>
      </c>
      <c r="Q85" s="11">
        <f t="shared" si="49"/>
        <v>2783500</v>
      </c>
    </row>
    <row r="86" spans="1:17" s="7" customFormat="1" ht="21" customHeight="1">
      <c r="A86" s="6"/>
      <c r="B86" s="142"/>
      <c r="C86" s="142"/>
      <c r="D86" s="142"/>
      <c r="E86" s="80" t="s">
        <v>19</v>
      </c>
      <c r="F86" s="11">
        <f>G86</f>
        <v>2678500</v>
      </c>
      <c r="G86" s="24">
        <f>2680000-7000+5500</f>
        <v>2678500</v>
      </c>
      <c r="H86" s="24">
        <f>1690000+72500</f>
        <v>1762500</v>
      </c>
      <c r="I86" s="24">
        <f>150000+200000+10000-11000-26000-7000</f>
        <v>316000</v>
      </c>
      <c r="J86" s="11">
        <v>0</v>
      </c>
      <c r="K86" s="11">
        <f>M86+L86</f>
        <v>105000</v>
      </c>
      <c r="L86" s="24">
        <v>20000</v>
      </c>
      <c r="M86" s="24">
        <v>85000</v>
      </c>
      <c r="N86" s="24">
        <v>10000</v>
      </c>
      <c r="O86" s="11">
        <v>0</v>
      </c>
      <c r="P86" s="11">
        <f>L86</f>
        <v>20000</v>
      </c>
      <c r="Q86" s="11">
        <f>F86+K86</f>
        <v>2783500</v>
      </c>
    </row>
    <row r="87" spans="1:17" s="7" customFormat="1" ht="19.5" customHeight="1">
      <c r="A87" s="6"/>
      <c r="B87" s="78" t="s">
        <v>101</v>
      </c>
      <c r="C87" s="109"/>
      <c r="D87" s="142"/>
      <c r="E87" s="79" t="s">
        <v>102</v>
      </c>
      <c r="F87" s="11">
        <f>F88</f>
        <v>16500</v>
      </c>
      <c r="G87" s="11">
        <f t="shared" ref="G87:P87" si="50">G88</f>
        <v>16500</v>
      </c>
      <c r="H87" s="11">
        <f t="shared" si="50"/>
        <v>0</v>
      </c>
      <c r="I87" s="11">
        <f t="shared" si="50"/>
        <v>0</v>
      </c>
      <c r="J87" s="11">
        <f t="shared" si="50"/>
        <v>0</v>
      </c>
      <c r="K87" s="11">
        <f t="shared" si="50"/>
        <v>0</v>
      </c>
      <c r="L87" s="11">
        <f t="shared" si="50"/>
        <v>0</v>
      </c>
      <c r="M87" s="11">
        <f t="shared" si="50"/>
        <v>0</v>
      </c>
      <c r="N87" s="11">
        <f t="shared" si="50"/>
        <v>0</v>
      </c>
      <c r="O87" s="11">
        <f t="shared" si="50"/>
        <v>0</v>
      </c>
      <c r="P87" s="11">
        <f t="shared" si="50"/>
        <v>0</v>
      </c>
      <c r="Q87" s="11">
        <f t="shared" si="6"/>
        <v>16500</v>
      </c>
    </row>
    <row r="88" spans="1:17" s="7" customFormat="1" ht="25.5" customHeight="1">
      <c r="A88" s="6"/>
      <c r="B88" s="84" t="s">
        <v>103</v>
      </c>
      <c r="C88" s="85">
        <v>4082</v>
      </c>
      <c r="D88" s="84" t="s">
        <v>104</v>
      </c>
      <c r="E88" s="94" t="s">
        <v>105</v>
      </c>
      <c r="F88" s="11">
        <f>G88</f>
        <v>16500</v>
      </c>
      <c r="G88" s="24">
        <f>15000+7000-5500</f>
        <v>16500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f t="shared" si="6"/>
        <v>16500</v>
      </c>
    </row>
    <row r="89" spans="1:17" s="7" customFormat="1" ht="18" customHeight="1">
      <c r="A89" s="6"/>
      <c r="B89" s="110"/>
      <c r="C89" s="111">
        <v>5000</v>
      </c>
      <c r="D89" s="110"/>
      <c r="E89" s="112" t="s">
        <v>106</v>
      </c>
      <c r="F89" s="44">
        <f>F90</f>
        <v>35000</v>
      </c>
      <c r="G89" s="44">
        <f t="shared" ref="G89:Q89" si="51">G90</f>
        <v>35000</v>
      </c>
      <c r="H89" s="44">
        <f t="shared" si="51"/>
        <v>0</v>
      </c>
      <c r="I89" s="44">
        <f t="shared" si="51"/>
        <v>0</v>
      </c>
      <c r="J89" s="44">
        <f t="shared" si="51"/>
        <v>0</v>
      </c>
      <c r="K89" s="44">
        <f t="shared" si="51"/>
        <v>0</v>
      </c>
      <c r="L89" s="44">
        <f t="shared" si="51"/>
        <v>0</v>
      </c>
      <c r="M89" s="44">
        <f t="shared" si="51"/>
        <v>0</v>
      </c>
      <c r="N89" s="44">
        <f t="shared" si="51"/>
        <v>0</v>
      </c>
      <c r="O89" s="44">
        <f t="shared" si="51"/>
        <v>0</v>
      </c>
      <c r="P89" s="44">
        <f t="shared" si="51"/>
        <v>0</v>
      </c>
      <c r="Q89" s="44">
        <f t="shared" si="51"/>
        <v>35000</v>
      </c>
    </row>
    <row r="90" spans="1:17" s="7" customFormat="1" ht="23.25" customHeight="1">
      <c r="A90" s="6"/>
      <c r="B90" s="78" t="s">
        <v>63</v>
      </c>
      <c r="C90" s="142">
        <v>5060</v>
      </c>
      <c r="D90" s="142" t="s">
        <v>3</v>
      </c>
      <c r="E90" s="79" t="s">
        <v>70</v>
      </c>
      <c r="F90" s="11">
        <f>F96+F91</f>
        <v>35000</v>
      </c>
      <c r="G90" s="11">
        <f t="shared" ref="G90:Q90" si="52">G96+G91</f>
        <v>35000</v>
      </c>
      <c r="H90" s="11">
        <f t="shared" si="52"/>
        <v>0</v>
      </c>
      <c r="I90" s="11">
        <f t="shared" si="52"/>
        <v>0</v>
      </c>
      <c r="J90" s="11">
        <f t="shared" si="52"/>
        <v>0</v>
      </c>
      <c r="K90" s="11">
        <f t="shared" si="52"/>
        <v>0</v>
      </c>
      <c r="L90" s="11">
        <f t="shared" si="52"/>
        <v>0</v>
      </c>
      <c r="M90" s="11">
        <f t="shared" si="52"/>
        <v>0</v>
      </c>
      <c r="N90" s="11">
        <f t="shared" si="52"/>
        <v>0</v>
      </c>
      <c r="O90" s="11">
        <f t="shared" si="52"/>
        <v>0</v>
      </c>
      <c r="P90" s="11">
        <f t="shared" si="52"/>
        <v>0</v>
      </c>
      <c r="Q90" s="11">
        <f t="shared" si="52"/>
        <v>35000</v>
      </c>
    </row>
    <row r="91" spans="1:17" s="23" customFormat="1" ht="48" customHeight="1">
      <c r="A91" s="21"/>
      <c r="B91" s="84" t="s">
        <v>193</v>
      </c>
      <c r="C91" s="85">
        <v>5061</v>
      </c>
      <c r="D91" s="113" t="s">
        <v>45</v>
      </c>
      <c r="E91" s="94" t="s">
        <v>192</v>
      </c>
      <c r="F91" s="22">
        <f>G91</f>
        <v>15000</v>
      </c>
      <c r="G91" s="32">
        <v>15000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f>F91+K91</f>
        <v>15000</v>
      </c>
    </row>
    <row r="92" spans="1:17" s="7" customFormat="1" ht="18" customHeight="1">
      <c r="A92" s="6"/>
      <c r="B92" s="170" t="s">
        <v>64</v>
      </c>
      <c r="C92" s="170" t="s">
        <v>65</v>
      </c>
      <c r="D92" s="170" t="s">
        <v>66</v>
      </c>
      <c r="E92" s="170" t="s">
        <v>67</v>
      </c>
      <c r="F92" s="168" t="s">
        <v>5</v>
      </c>
      <c r="G92" s="168"/>
      <c r="H92" s="168"/>
      <c r="I92" s="168"/>
      <c r="J92" s="168"/>
      <c r="K92" s="168" t="s">
        <v>2</v>
      </c>
      <c r="L92" s="168"/>
      <c r="M92" s="168"/>
      <c r="N92" s="168"/>
      <c r="O92" s="168"/>
      <c r="P92" s="168"/>
      <c r="Q92" s="168" t="s">
        <v>4</v>
      </c>
    </row>
    <row r="93" spans="1:17" s="7" customFormat="1" ht="26.25" customHeight="1">
      <c r="A93" s="6"/>
      <c r="B93" s="170"/>
      <c r="C93" s="170"/>
      <c r="D93" s="170"/>
      <c r="E93" s="170"/>
      <c r="F93" s="168" t="s">
        <v>60</v>
      </c>
      <c r="G93" s="169" t="s">
        <v>6</v>
      </c>
      <c r="H93" s="170" t="s">
        <v>7</v>
      </c>
      <c r="I93" s="170"/>
      <c r="J93" s="169" t="s">
        <v>8</v>
      </c>
      <c r="K93" s="168" t="s">
        <v>60</v>
      </c>
      <c r="L93" s="169" t="s">
        <v>61</v>
      </c>
      <c r="M93" s="169" t="s">
        <v>6</v>
      </c>
      <c r="N93" s="170" t="s">
        <v>7</v>
      </c>
      <c r="O93" s="170"/>
      <c r="P93" s="169" t="s">
        <v>8</v>
      </c>
      <c r="Q93" s="168"/>
    </row>
    <row r="94" spans="1:17" s="7" customFormat="1" ht="42.75" customHeight="1">
      <c r="A94" s="6"/>
      <c r="B94" s="170"/>
      <c r="C94" s="170"/>
      <c r="D94" s="170"/>
      <c r="E94" s="170"/>
      <c r="F94" s="168"/>
      <c r="G94" s="169"/>
      <c r="H94" s="142" t="s">
        <v>9</v>
      </c>
      <c r="I94" s="142" t="s">
        <v>10</v>
      </c>
      <c r="J94" s="169"/>
      <c r="K94" s="168"/>
      <c r="L94" s="169"/>
      <c r="M94" s="169"/>
      <c r="N94" s="142" t="s">
        <v>9</v>
      </c>
      <c r="O94" s="142" t="s">
        <v>10</v>
      </c>
      <c r="P94" s="169"/>
      <c r="Q94" s="168"/>
    </row>
    <row r="95" spans="1:17" s="7" customFormat="1" ht="15.6" customHeight="1">
      <c r="A95" s="6"/>
      <c r="B95" s="142">
        <v>1</v>
      </c>
      <c r="C95" s="142">
        <v>2</v>
      </c>
      <c r="D95" s="142">
        <v>3</v>
      </c>
      <c r="E95" s="142">
        <v>4</v>
      </c>
      <c r="F95" s="140">
        <v>5</v>
      </c>
      <c r="G95" s="141">
        <v>6</v>
      </c>
      <c r="H95" s="142">
        <v>7</v>
      </c>
      <c r="I95" s="142">
        <v>8</v>
      </c>
      <c r="J95" s="141">
        <v>9</v>
      </c>
      <c r="K95" s="140">
        <v>10</v>
      </c>
      <c r="L95" s="141">
        <v>11</v>
      </c>
      <c r="M95" s="141">
        <v>12</v>
      </c>
      <c r="N95" s="142">
        <v>13</v>
      </c>
      <c r="O95" s="142">
        <v>14</v>
      </c>
      <c r="P95" s="141">
        <v>15</v>
      </c>
      <c r="Q95" s="140">
        <v>16</v>
      </c>
    </row>
    <row r="96" spans="1:17" s="7" customFormat="1" ht="34.5" customHeight="1">
      <c r="A96" s="6"/>
      <c r="B96" s="78" t="s">
        <v>72</v>
      </c>
      <c r="C96" s="142">
        <v>5062</v>
      </c>
      <c r="D96" s="114" t="s">
        <v>45</v>
      </c>
      <c r="E96" s="79" t="s">
        <v>71</v>
      </c>
      <c r="F96" s="11">
        <f>G96</f>
        <v>20000</v>
      </c>
      <c r="G96" s="24">
        <f>30000-10000</f>
        <v>20000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f>F96+K96</f>
        <v>20000</v>
      </c>
    </row>
    <row r="97" spans="1:17" s="7" customFormat="1" ht="27" customHeight="1">
      <c r="A97" s="6"/>
      <c r="B97" s="100"/>
      <c r="C97" s="140">
        <v>6000</v>
      </c>
      <c r="D97" s="65"/>
      <c r="E97" s="67" t="s">
        <v>107</v>
      </c>
      <c r="F97" s="44">
        <f>F98+F99</f>
        <v>3084756</v>
      </c>
      <c r="G97" s="44">
        <f t="shared" ref="G97:Q97" si="53">G98+G99</f>
        <v>3084756</v>
      </c>
      <c r="H97" s="44">
        <f t="shared" si="53"/>
        <v>13000</v>
      </c>
      <c r="I97" s="44">
        <f t="shared" si="53"/>
        <v>412750</v>
      </c>
      <c r="J97" s="44">
        <f t="shared" si="53"/>
        <v>0</v>
      </c>
      <c r="K97" s="44">
        <f t="shared" si="53"/>
        <v>648900</v>
      </c>
      <c r="L97" s="44">
        <f t="shared" si="53"/>
        <v>648900</v>
      </c>
      <c r="M97" s="44">
        <f t="shared" si="53"/>
        <v>0</v>
      </c>
      <c r="N97" s="44">
        <f t="shared" si="53"/>
        <v>0</v>
      </c>
      <c r="O97" s="44">
        <f t="shared" si="53"/>
        <v>0</v>
      </c>
      <c r="P97" s="44">
        <f t="shared" si="53"/>
        <v>648900</v>
      </c>
      <c r="Q97" s="44">
        <f t="shared" si="53"/>
        <v>3733656</v>
      </c>
    </row>
    <row r="98" spans="1:17" s="7" customFormat="1" ht="25.5" customHeight="1">
      <c r="A98" s="6"/>
      <c r="B98" s="78" t="s">
        <v>108</v>
      </c>
      <c r="C98" s="78" t="s">
        <v>109</v>
      </c>
      <c r="D98" s="114" t="s">
        <v>46</v>
      </c>
      <c r="E98" s="79" t="s">
        <v>110</v>
      </c>
      <c r="F98" s="11">
        <f>G98</f>
        <v>2152590</v>
      </c>
      <c r="G98" s="24">
        <f>500000+626740+10000+20000+90000+28000+38000+112000+36600+206250+150000+335000</f>
        <v>2152590</v>
      </c>
      <c r="H98" s="11">
        <v>0</v>
      </c>
      <c r="I98" s="11">
        <v>0</v>
      </c>
      <c r="J98" s="11">
        <v>0</v>
      </c>
      <c r="K98" s="11">
        <f>L98</f>
        <v>0</v>
      </c>
      <c r="L98" s="11">
        <v>0</v>
      </c>
      <c r="M98" s="11">
        <v>0</v>
      </c>
      <c r="N98" s="11">
        <v>0</v>
      </c>
      <c r="O98" s="11">
        <v>0</v>
      </c>
      <c r="P98" s="11">
        <f>L98</f>
        <v>0</v>
      </c>
      <c r="Q98" s="11">
        <f>F98+K98</f>
        <v>2152590</v>
      </c>
    </row>
    <row r="99" spans="1:17" s="7" customFormat="1" ht="25.5" customHeight="1">
      <c r="A99" s="6"/>
      <c r="B99" s="78" t="s">
        <v>47</v>
      </c>
      <c r="C99" s="78" t="s">
        <v>73</v>
      </c>
      <c r="D99" s="78" t="s">
        <v>46</v>
      </c>
      <c r="E99" s="79" t="s">
        <v>48</v>
      </c>
      <c r="F99" s="11">
        <f>G99</f>
        <v>932166</v>
      </c>
      <c r="G99" s="24">
        <f>1174416-180000-60000-15000-50000+79750-17000</f>
        <v>932166</v>
      </c>
      <c r="H99" s="24">
        <v>13000</v>
      </c>
      <c r="I99" s="24">
        <f>400000-50000+79750-17000</f>
        <v>412750</v>
      </c>
      <c r="J99" s="11">
        <v>0</v>
      </c>
      <c r="K99" s="11">
        <f>L99</f>
        <v>648900</v>
      </c>
      <c r="L99" s="24">
        <f>50000+650000-1100-50000</f>
        <v>648900</v>
      </c>
      <c r="M99" s="11">
        <v>0</v>
      </c>
      <c r="N99" s="11">
        <v>0</v>
      </c>
      <c r="O99" s="11">
        <v>0</v>
      </c>
      <c r="P99" s="11">
        <f>L99</f>
        <v>648900</v>
      </c>
      <c r="Q99" s="11">
        <f>F99+K99</f>
        <v>1581066</v>
      </c>
    </row>
    <row r="100" spans="1:17" s="15" customFormat="1" ht="25.5" customHeight="1">
      <c r="A100" s="14"/>
      <c r="B100" s="100"/>
      <c r="C100" s="100" t="s">
        <v>242</v>
      </c>
      <c r="D100" s="100"/>
      <c r="E100" s="67" t="s">
        <v>243</v>
      </c>
      <c r="F100" s="44">
        <f>SUM(F101:F114)</f>
        <v>524000</v>
      </c>
      <c r="G100" s="44">
        <f>SUM(G101:G114)</f>
        <v>524000</v>
      </c>
      <c r="H100" s="44">
        <f t="shared" ref="H100:J100" si="54">SUM(H101:H114)</f>
        <v>0</v>
      </c>
      <c r="I100" s="44">
        <f t="shared" si="54"/>
        <v>0</v>
      </c>
      <c r="J100" s="44">
        <f t="shared" si="54"/>
        <v>0</v>
      </c>
      <c r="K100" s="44">
        <f>K101+K102+K105+K106+K107+K109+K110+K111+K112+K113+K114</f>
        <v>845345</v>
      </c>
      <c r="L100" s="44">
        <f t="shared" ref="L100:P100" si="55">L101+L102+L105+L106+L107+L109+L110+L111+L112+L113+L114</f>
        <v>750345</v>
      </c>
      <c r="M100" s="44">
        <f t="shared" si="55"/>
        <v>95000</v>
      </c>
      <c r="N100" s="44">
        <f t="shared" si="55"/>
        <v>0</v>
      </c>
      <c r="O100" s="44">
        <f t="shared" si="55"/>
        <v>0</v>
      </c>
      <c r="P100" s="44">
        <f t="shared" si="55"/>
        <v>750345</v>
      </c>
      <c r="Q100" s="44">
        <f>K100+F100</f>
        <v>1369345</v>
      </c>
    </row>
    <row r="101" spans="1:17" s="23" customFormat="1" ht="25.5" customHeight="1">
      <c r="A101" s="21"/>
      <c r="B101" s="84" t="s">
        <v>212</v>
      </c>
      <c r="C101" s="84" t="s">
        <v>213</v>
      </c>
      <c r="D101" s="84" t="s">
        <v>171</v>
      </c>
      <c r="E101" s="94" t="s">
        <v>214</v>
      </c>
      <c r="F101" s="22">
        <f>G101</f>
        <v>30000</v>
      </c>
      <c r="G101" s="32">
        <v>30000</v>
      </c>
      <c r="H101" s="87">
        <f t="shared" ref="H101" si="56">H104</f>
        <v>0</v>
      </c>
      <c r="I101" s="87">
        <f t="shared" ref="I101" si="57">I104</f>
        <v>0</v>
      </c>
      <c r="J101" s="87">
        <f t="shared" ref="J101" si="58">J104</f>
        <v>0</v>
      </c>
      <c r="K101" s="87">
        <f t="shared" ref="K101" si="59">K104</f>
        <v>0</v>
      </c>
      <c r="L101" s="87">
        <f t="shared" ref="L101" si="60">L104</f>
        <v>0</v>
      </c>
      <c r="M101" s="87">
        <f t="shared" ref="M101" si="61">M104</f>
        <v>0</v>
      </c>
      <c r="N101" s="87">
        <f t="shared" ref="N101" si="62">N104</f>
        <v>0</v>
      </c>
      <c r="O101" s="87">
        <f t="shared" ref="O101" si="63">O104</f>
        <v>0</v>
      </c>
      <c r="P101" s="87">
        <f t="shared" ref="P101" si="64">P104</f>
        <v>0</v>
      </c>
      <c r="Q101" s="87">
        <f>F101+K101</f>
        <v>30000</v>
      </c>
    </row>
    <row r="102" spans="1:17" s="7" customFormat="1" ht="25.5" customHeight="1">
      <c r="A102" s="6"/>
      <c r="B102" s="78" t="s">
        <v>170</v>
      </c>
      <c r="C102" s="78" t="s">
        <v>169</v>
      </c>
      <c r="D102" s="78" t="s">
        <v>171</v>
      </c>
      <c r="E102" s="79" t="s">
        <v>172</v>
      </c>
      <c r="F102" s="11">
        <f>G102</f>
        <v>100000</v>
      </c>
      <c r="G102" s="24">
        <f>10000+150000-40000-20000</f>
        <v>100000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92">
        <f>F102+K102</f>
        <v>100000</v>
      </c>
    </row>
    <row r="103" spans="1:17" s="31" customFormat="1" ht="25.5" hidden="1" customHeight="1">
      <c r="A103" s="29"/>
      <c r="B103" s="110"/>
      <c r="C103" s="110" t="s">
        <v>185</v>
      </c>
      <c r="D103" s="110"/>
      <c r="E103" s="112" t="s">
        <v>194</v>
      </c>
      <c r="F103" s="30">
        <f>F104</f>
        <v>0</v>
      </c>
      <c r="G103" s="30">
        <f t="shared" ref="G103:P103" si="65">G104</f>
        <v>0</v>
      </c>
      <c r="H103" s="30">
        <f t="shared" si="65"/>
        <v>0</v>
      </c>
      <c r="I103" s="30">
        <f t="shared" si="65"/>
        <v>0</v>
      </c>
      <c r="J103" s="30">
        <f t="shared" si="65"/>
        <v>0</v>
      </c>
      <c r="K103" s="30">
        <f t="shared" si="65"/>
        <v>0</v>
      </c>
      <c r="L103" s="30">
        <f t="shared" si="65"/>
        <v>0</v>
      </c>
      <c r="M103" s="30">
        <f t="shared" si="65"/>
        <v>0</v>
      </c>
      <c r="N103" s="30">
        <f t="shared" si="65"/>
        <v>0</v>
      </c>
      <c r="O103" s="30">
        <f t="shared" si="65"/>
        <v>0</v>
      </c>
      <c r="P103" s="30">
        <f t="shared" si="65"/>
        <v>0</v>
      </c>
      <c r="Q103" s="115">
        <f t="shared" ref="Q103:Q104" si="66">F103+K103</f>
        <v>0</v>
      </c>
    </row>
    <row r="104" spans="1:17" s="23" customFormat="1" ht="36" hidden="1" customHeight="1">
      <c r="A104" s="21"/>
      <c r="B104" s="84" t="s">
        <v>195</v>
      </c>
      <c r="C104" s="84" t="s">
        <v>184</v>
      </c>
      <c r="D104" s="84" t="s">
        <v>79</v>
      </c>
      <c r="E104" s="94" t="s">
        <v>196</v>
      </c>
      <c r="F104" s="22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f t="shared" ref="K104:K109" si="67">L104</f>
        <v>0</v>
      </c>
      <c r="L104" s="32">
        <f>1079475-1079475</f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f t="shared" si="66"/>
        <v>0</v>
      </c>
    </row>
    <row r="105" spans="1:17" s="23" customFormat="1" ht="18" customHeight="1">
      <c r="A105" s="21"/>
      <c r="B105" s="78" t="s">
        <v>216</v>
      </c>
      <c r="C105" s="78" t="s">
        <v>217</v>
      </c>
      <c r="D105" s="78" t="s">
        <v>218</v>
      </c>
      <c r="E105" s="94" t="s">
        <v>215</v>
      </c>
      <c r="F105" s="11">
        <f>G105</f>
        <v>0</v>
      </c>
      <c r="G105" s="11">
        <v>0</v>
      </c>
      <c r="H105" s="11">
        <v>0</v>
      </c>
      <c r="I105" s="11">
        <v>0</v>
      </c>
      <c r="J105" s="87">
        <v>0</v>
      </c>
      <c r="K105" s="87">
        <f t="shared" si="67"/>
        <v>5900</v>
      </c>
      <c r="L105" s="32">
        <v>5900</v>
      </c>
      <c r="M105" s="11">
        <v>0</v>
      </c>
      <c r="N105" s="11">
        <v>0</v>
      </c>
      <c r="O105" s="11">
        <v>0</v>
      </c>
      <c r="P105" s="11">
        <f>L105</f>
        <v>5900</v>
      </c>
      <c r="Q105" s="11">
        <f t="shared" ref="Q105:Q110" si="68">F105+K105</f>
        <v>5900</v>
      </c>
    </row>
    <row r="106" spans="1:17" s="23" customFormat="1" ht="35.25" customHeight="1">
      <c r="A106" s="21"/>
      <c r="B106" s="78" t="s">
        <v>244</v>
      </c>
      <c r="C106" s="78" t="s">
        <v>245</v>
      </c>
      <c r="D106" s="78" t="s">
        <v>218</v>
      </c>
      <c r="E106" s="94" t="s">
        <v>246</v>
      </c>
      <c r="F106" s="11">
        <f>G106</f>
        <v>0</v>
      </c>
      <c r="G106" s="11">
        <v>0</v>
      </c>
      <c r="H106" s="11">
        <v>0</v>
      </c>
      <c r="I106" s="11">
        <v>0</v>
      </c>
      <c r="J106" s="87">
        <v>0</v>
      </c>
      <c r="K106" s="87">
        <f t="shared" si="67"/>
        <v>49800</v>
      </c>
      <c r="L106" s="32">
        <v>49800</v>
      </c>
      <c r="M106" s="11">
        <v>0</v>
      </c>
      <c r="N106" s="11">
        <v>0</v>
      </c>
      <c r="O106" s="11">
        <v>0</v>
      </c>
      <c r="P106" s="11">
        <f>L106</f>
        <v>49800</v>
      </c>
      <c r="Q106" s="11">
        <f t="shared" si="68"/>
        <v>49800</v>
      </c>
    </row>
    <row r="107" spans="1:17" s="23" customFormat="1" ht="47.25" customHeight="1">
      <c r="A107" s="21"/>
      <c r="B107" s="78" t="s">
        <v>220</v>
      </c>
      <c r="C107" s="78" t="s">
        <v>221</v>
      </c>
      <c r="D107" s="78" t="s">
        <v>79</v>
      </c>
      <c r="E107" s="94" t="s">
        <v>219</v>
      </c>
      <c r="F107" s="11">
        <f>G107</f>
        <v>0</v>
      </c>
      <c r="G107" s="11">
        <v>0</v>
      </c>
      <c r="H107" s="11">
        <v>0</v>
      </c>
      <c r="I107" s="11">
        <v>0</v>
      </c>
      <c r="J107" s="87">
        <v>0</v>
      </c>
      <c r="K107" s="87">
        <f t="shared" si="67"/>
        <v>517153</v>
      </c>
      <c r="L107" s="32">
        <f>5100+L108+4808+1100+370</f>
        <v>517153</v>
      </c>
      <c r="M107" s="11">
        <v>0</v>
      </c>
      <c r="N107" s="11">
        <v>0</v>
      </c>
      <c r="O107" s="11">
        <v>0</v>
      </c>
      <c r="P107" s="11">
        <f>L107</f>
        <v>517153</v>
      </c>
      <c r="Q107" s="11">
        <f t="shared" si="68"/>
        <v>517153</v>
      </c>
    </row>
    <row r="108" spans="1:17" s="148" customFormat="1" ht="47.25" customHeight="1">
      <c r="A108" s="147"/>
      <c r="B108" s="91"/>
      <c r="C108" s="91"/>
      <c r="D108" s="91"/>
      <c r="E108" s="82" t="s">
        <v>230</v>
      </c>
      <c r="F108" s="5">
        <v>0</v>
      </c>
      <c r="G108" s="5">
        <v>0</v>
      </c>
      <c r="H108" s="5">
        <v>0</v>
      </c>
      <c r="I108" s="5">
        <v>0</v>
      </c>
      <c r="J108" s="88">
        <v>0</v>
      </c>
      <c r="K108" s="87">
        <f t="shared" si="67"/>
        <v>505775</v>
      </c>
      <c r="L108" s="83">
        <v>505775</v>
      </c>
      <c r="M108" s="11">
        <f>M110</f>
        <v>0</v>
      </c>
      <c r="N108" s="11">
        <f>N110</f>
        <v>0</v>
      </c>
      <c r="O108" s="11">
        <f>O110</f>
        <v>0</v>
      </c>
      <c r="P108" s="11">
        <f>L108</f>
        <v>505775</v>
      </c>
      <c r="Q108" s="11">
        <f t="shared" si="68"/>
        <v>505775</v>
      </c>
    </row>
    <row r="109" spans="1:17" s="160" customFormat="1" ht="26.25" customHeight="1">
      <c r="A109" s="158"/>
      <c r="B109" s="159" t="s">
        <v>237</v>
      </c>
      <c r="C109" s="162" t="s">
        <v>238</v>
      </c>
      <c r="D109" s="162" t="s">
        <v>79</v>
      </c>
      <c r="E109" s="82" t="s">
        <v>239</v>
      </c>
      <c r="F109" s="5">
        <v>0</v>
      </c>
      <c r="G109" s="5">
        <v>0</v>
      </c>
      <c r="H109" s="5">
        <v>0</v>
      </c>
      <c r="I109" s="5">
        <v>0</v>
      </c>
      <c r="J109" s="88">
        <v>0</v>
      </c>
      <c r="K109" s="87">
        <f t="shared" si="67"/>
        <v>40200</v>
      </c>
      <c r="L109" s="83">
        <f>130000-40000-49800</f>
        <v>40200</v>
      </c>
      <c r="M109" s="11">
        <v>0</v>
      </c>
      <c r="N109" s="11">
        <v>0</v>
      </c>
      <c r="O109" s="11">
        <v>0</v>
      </c>
      <c r="P109" s="11">
        <f>L109</f>
        <v>40200</v>
      </c>
      <c r="Q109" s="11">
        <f t="shared" si="68"/>
        <v>40200</v>
      </c>
    </row>
    <row r="110" spans="1:17" s="7" customFormat="1" ht="36.6" customHeight="1">
      <c r="A110" s="6"/>
      <c r="B110" s="78" t="s">
        <v>49</v>
      </c>
      <c r="C110" s="78" t="s">
        <v>74</v>
      </c>
      <c r="D110" s="78" t="s">
        <v>50</v>
      </c>
      <c r="E110" s="79" t="s">
        <v>51</v>
      </c>
      <c r="F110" s="11">
        <f>G110</f>
        <v>332000</v>
      </c>
      <c r="G110" s="24">
        <f>300000+32000</f>
        <v>332000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f t="shared" si="68"/>
        <v>332000</v>
      </c>
    </row>
    <row r="111" spans="1:17" s="15" customFormat="1" ht="36.6" customHeight="1">
      <c r="A111" s="14"/>
      <c r="B111" s="149" t="s">
        <v>231</v>
      </c>
      <c r="C111" s="150">
        <v>7622</v>
      </c>
      <c r="D111" s="149" t="s">
        <v>232</v>
      </c>
      <c r="E111" s="151" t="s">
        <v>233</v>
      </c>
      <c r="F111" s="22">
        <f>G111</f>
        <v>50000</v>
      </c>
      <c r="G111" s="32">
        <v>50000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f t="shared" ref="Q111:Q113" si="69">F111+K111</f>
        <v>50000</v>
      </c>
    </row>
    <row r="112" spans="1:17" s="23" customFormat="1" ht="36.6" customHeight="1">
      <c r="A112" s="21"/>
      <c r="B112" s="85" t="s">
        <v>197</v>
      </c>
      <c r="C112" s="84" t="s">
        <v>183</v>
      </c>
      <c r="D112" s="85" t="s">
        <v>79</v>
      </c>
      <c r="E112" s="94" t="s">
        <v>199</v>
      </c>
      <c r="F112" s="22">
        <f>G112</f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L112</f>
        <v>137292</v>
      </c>
      <c r="L112" s="32">
        <f>60000-20000+48100+18000+27000+4192</f>
        <v>137292</v>
      </c>
      <c r="M112" s="22">
        <v>0</v>
      </c>
      <c r="N112" s="22">
        <v>0</v>
      </c>
      <c r="O112" s="22">
        <v>0</v>
      </c>
      <c r="P112" s="22">
        <f>L112</f>
        <v>137292</v>
      </c>
      <c r="Q112" s="22">
        <f t="shared" si="69"/>
        <v>137292</v>
      </c>
    </row>
    <row r="113" spans="1:17" s="23" customFormat="1" ht="36" customHeight="1">
      <c r="A113" s="21"/>
      <c r="B113" s="85" t="s">
        <v>198</v>
      </c>
      <c r="C113" s="84" t="s">
        <v>182</v>
      </c>
      <c r="D113" s="85" t="s">
        <v>79</v>
      </c>
      <c r="E113" s="94" t="s">
        <v>200</v>
      </c>
      <c r="F113" s="22">
        <f>G113</f>
        <v>12000</v>
      </c>
      <c r="G113" s="22">
        <v>12000</v>
      </c>
      <c r="H113" s="22">
        <v>0</v>
      </c>
      <c r="I113" s="22">
        <v>0</v>
      </c>
      <c r="J113" s="22">
        <v>0</v>
      </c>
      <c r="K113" s="22">
        <f>L113</f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f t="shared" si="69"/>
        <v>12000</v>
      </c>
    </row>
    <row r="114" spans="1:17" s="7" customFormat="1" ht="22.15" customHeight="1">
      <c r="A114" s="6"/>
      <c r="B114" s="78" t="s">
        <v>111</v>
      </c>
      <c r="C114" s="142">
        <v>7690</v>
      </c>
      <c r="D114" s="78"/>
      <c r="E114" s="79" t="s">
        <v>112</v>
      </c>
      <c r="F114" s="11">
        <f t="shared" ref="F114:P114" si="70">F123</f>
        <v>0</v>
      </c>
      <c r="G114" s="11">
        <f t="shared" si="70"/>
        <v>0</v>
      </c>
      <c r="H114" s="11">
        <f t="shared" si="70"/>
        <v>0</v>
      </c>
      <c r="I114" s="11">
        <f t="shared" si="70"/>
        <v>0</v>
      </c>
      <c r="J114" s="11">
        <f t="shared" si="70"/>
        <v>0</v>
      </c>
      <c r="K114" s="11">
        <f t="shared" si="70"/>
        <v>95000</v>
      </c>
      <c r="L114" s="11">
        <f t="shared" si="70"/>
        <v>0</v>
      </c>
      <c r="M114" s="11">
        <f t="shared" si="70"/>
        <v>95000</v>
      </c>
      <c r="N114" s="11">
        <f t="shared" si="70"/>
        <v>0</v>
      </c>
      <c r="O114" s="11">
        <f t="shared" si="70"/>
        <v>0</v>
      </c>
      <c r="P114" s="11">
        <f t="shared" si="70"/>
        <v>0</v>
      </c>
      <c r="Q114" s="11">
        <f>F114+K114</f>
        <v>95000</v>
      </c>
    </row>
    <row r="115" spans="1:17" s="7" customFormat="1" ht="25.15" hidden="1" customHeight="1">
      <c r="A115" s="6"/>
      <c r="B115" s="170" t="s">
        <v>64</v>
      </c>
      <c r="C115" s="170" t="s">
        <v>65</v>
      </c>
      <c r="D115" s="170" t="s">
        <v>66</v>
      </c>
      <c r="E115" s="170" t="s">
        <v>67</v>
      </c>
      <c r="F115" s="168" t="s">
        <v>5</v>
      </c>
      <c r="G115" s="168"/>
      <c r="H115" s="168"/>
      <c r="I115" s="168"/>
      <c r="J115" s="168"/>
      <c r="K115" s="168" t="s">
        <v>2</v>
      </c>
      <c r="L115" s="168"/>
      <c r="M115" s="168"/>
      <c r="N115" s="168"/>
      <c r="O115" s="168"/>
      <c r="P115" s="168"/>
      <c r="Q115" s="168" t="s">
        <v>4</v>
      </c>
    </row>
    <row r="116" spans="1:17" s="7" customFormat="1" ht="25.15" hidden="1" customHeight="1">
      <c r="A116" s="6"/>
      <c r="B116" s="170"/>
      <c r="C116" s="170"/>
      <c r="D116" s="170"/>
      <c r="E116" s="170"/>
      <c r="F116" s="168" t="s">
        <v>60</v>
      </c>
      <c r="G116" s="169" t="s">
        <v>6</v>
      </c>
      <c r="H116" s="170" t="s">
        <v>7</v>
      </c>
      <c r="I116" s="170"/>
      <c r="J116" s="169" t="s">
        <v>8</v>
      </c>
      <c r="K116" s="168" t="s">
        <v>60</v>
      </c>
      <c r="L116" s="169" t="s">
        <v>61</v>
      </c>
      <c r="M116" s="169" t="s">
        <v>6</v>
      </c>
      <c r="N116" s="170" t="s">
        <v>7</v>
      </c>
      <c r="O116" s="170"/>
      <c r="P116" s="169" t="s">
        <v>8</v>
      </c>
      <c r="Q116" s="168"/>
    </row>
    <row r="117" spans="1:17" s="7" customFormat="1" ht="93.6" hidden="1" customHeight="1">
      <c r="A117" s="6"/>
      <c r="B117" s="170"/>
      <c r="C117" s="170"/>
      <c r="D117" s="170"/>
      <c r="E117" s="170"/>
      <c r="F117" s="168"/>
      <c r="G117" s="169"/>
      <c r="H117" s="142" t="s">
        <v>9</v>
      </c>
      <c r="I117" s="142" t="s">
        <v>10</v>
      </c>
      <c r="J117" s="169"/>
      <c r="K117" s="168"/>
      <c r="L117" s="169"/>
      <c r="M117" s="169"/>
      <c r="N117" s="142" t="s">
        <v>9</v>
      </c>
      <c r="O117" s="142" t="s">
        <v>10</v>
      </c>
      <c r="P117" s="169"/>
      <c r="Q117" s="168"/>
    </row>
    <row r="118" spans="1:17" s="7" customFormat="1" ht="18" hidden="1" customHeight="1">
      <c r="A118" s="6"/>
      <c r="B118" s="142">
        <v>1</v>
      </c>
      <c r="C118" s="142">
        <v>2</v>
      </c>
      <c r="D118" s="142">
        <v>3</v>
      </c>
      <c r="E118" s="142">
        <v>4</v>
      </c>
      <c r="F118" s="140">
        <v>5</v>
      </c>
      <c r="G118" s="141">
        <v>6</v>
      </c>
      <c r="H118" s="142">
        <v>7</v>
      </c>
      <c r="I118" s="142">
        <v>8</v>
      </c>
      <c r="J118" s="141">
        <v>9</v>
      </c>
      <c r="K118" s="140">
        <v>10</v>
      </c>
      <c r="L118" s="141">
        <v>11</v>
      </c>
      <c r="M118" s="141">
        <v>12</v>
      </c>
      <c r="N118" s="142">
        <v>13</v>
      </c>
      <c r="O118" s="142">
        <v>14</v>
      </c>
      <c r="P118" s="141">
        <v>15</v>
      </c>
      <c r="Q118" s="140">
        <v>16</v>
      </c>
    </row>
    <row r="119" spans="1:17" s="7" customFormat="1" ht="23.25" customHeight="1">
      <c r="A119" s="6"/>
      <c r="B119" s="170" t="s">
        <v>64</v>
      </c>
      <c r="C119" s="170" t="s">
        <v>65</v>
      </c>
      <c r="D119" s="170" t="s">
        <v>66</v>
      </c>
      <c r="E119" s="170" t="s">
        <v>67</v>
      </c>
      <c r="F119" s="168" t="s">
        <v>5</v>
      </c>
      <c r="G119" s="168"/>
      <c r="H119" s="168"/>
      <c r="I119" s="168"/>
      <c r="J119" s="168"/>
      <c r="K119" s="168" t="s">
        <v>2</v>
      </c>
      <c r="L119" s="168"/>
      <c r="M119" s="168"/>
      <c r="N119" s="168"/>
      <c r="O119" s="168"/>
      <c r="P119" s="168"/>
      <c r="Q119" s="168" t="s">
        <v>4</v>
      </c>
    </row>
    <row r="120" spans="1:17" s="7" customFormat="1" ht="27" customHeight="1">
      <c r="A120" s="6"/>
      <c r="B120" s="170"/>
      <c r="C120" s="170"/>
      <c r="D120" s="170"/>
      <c r="E120" s="170"/>
      <c r="F120" s="168" t="s">
        <v>60</v>
      </c>
      <c r="G120" s="169" t="s">
        <v>6</v>
      </c>
      <c r="H120" s="170" t="s">
        <v>7</v>
      </c>
      <c r="I120" s="170"/>
      <c r="J120" s="169" t="s">
        <v>8</v>
      </c>
      <c r="K120" s="168" t="s">
        <v>60</v>
      </c>
      <c r="L120" s="169" t="s">
        <v>61</v>
      </c>
      <c r="M120" s="169" t="s">
        <v>6</v>
      </c>
      <c r="N120" s="170" t="s">
        <v>7</v>
      </c>
      <c r="O120" s="170"/>
      <c r="P120" s="169" t="s">
        <v>8</v>
      </c>
      <c r="Q120" s="168"/>
    </row>
    <row r="121" spans="1:17" s="7" customFormat="1" ht="51.75" customHeight="1">
      <c r="A121" s="6"/>
      <c r="B121" s="170"/>
      <c r="C121" s="170"/>
      <c r="D121" s="170"/>
      <c r="E121" s="170"/>
      <c r="F121" s="168"/>
      <c r="G121" s="169"/>
      <c r="H121" s="142" t="s">
        <v>9</v>
      </c>
      <c r="I121" s="142" t="s">
        <v>10</v>
      </c>
      <c r="J121" s="169"/>
      <c r="K121" s="168"/>
      <c r="L121" s="169"/>
      <c r="M121" s="169"/>
      <c r="N121" s="142" t="s">
        <v>9</v>
      </c>
      <c r="O121" s="142" t="s">
        <v>10</v>
      </c>
      <c r="P121" s="169"/>
      <c r="Q121" s="168"/>
    </row>
    <row r="122" spans="1:17" s="7" customFormat="1" ht="15.6" customHeight="1">
      <c r="A122" s="6"/>
      <c r="B122" s="142">
        <v>1</v>
      </c>
      <c r="C122" s="142">
        <v>2</v>
      </c>
      <c r="D122" s="142">
        <v>3</v>
      </c>
      <c r="E122" s="142">
        <v>4</v>
      </c>
      <c r="F122" s="140">
        <v>5</v>
      </c>
      <c r="G122" s="141">
        <v>6</v>
      </c>
      <c r="H122" s="142">
        <v>7</v>
      </c>
      <c r="I122" s="142">
        <v>8</v>
      </c>
      <c r="J122" s="141">
        <v>9</v>
      </c>
      <c r="K122" s="140">
        <v>10</v>
      </c>
      <c r="L122" s="141">
        <v>11</v>
      </c>
      <c r="M122" s="141">
        <v>12</v>
      </c>
      <c r="N122" s="142">
        <v>13</v>
      </c>
      <c r="O122" s="142">
        <v>14</v>
      </c>
      <c r="P122" s="141">
        <v>15</v>
      </c>
      <c r="Q122" s="140">
        <v>16</v>
      </c>
    </row>
    <row r="123" spans="1:17" s="7" customFormat="1" ht="73.5" customHeight="1">
      <c r="A123" s="6"/>
      <c r="B123" s="78" t="s">
        <v>113</v>
      </c>
      <c r="C123" s="78" t="s">
        <v>114</v>
      </c>
      <c r="D123" s="78" t="s">
        <v>79</v>
      </c>
      <c r="E123" s="116" t="s">
        <v>115</v>
      </c>
      <c r="F123" s="11">
        <f>G123</f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f>M123</f>
        <v>95000</v>
      </c>
      <c r="L123" s="11">
        <v>0</v>
      </c>
      <c r="M123" s="24">
        <f>10000+65000+20000</f>
        <v>95000</v>
      </c>
      <c r="N123" s="11">
        <v>0</v>
      </c>
      <c r="O123" s="11">
        <v>0</v>
      </c>
      <c r="P123" s="11">
        <v>0</v>
      </c>
      <c r="Q123" s="11">
        <f>F123+K123</f>
        <v>95000</v>
      </c>
    </row>
    <row r="124" spans="1:17" customFormat="1" ht="48" hidden="1" customHeight="1">
      <c r="A124" s="1"/>
      <c r="B124" s="117"/>
      <c r="C124" s="118"/>
      <c r="D124" s="119"/>
      <c r="E124" s="120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</row>
    <row r="125" spans="1:17" s="7" customFormat="1" ht="35.25" hidden="1" customHeight="1">
      <c r="A125" s="6"/>
      <c r="B125" s="78"/>
      <c r="C125" s="78"/>
      <c r="D125" s="78"/>
      <c r="E125" s="116"/>
      <c r="F125" s="11"/>
      <c r="G125" s="12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s="7" customFormat="1" ht="26.25" customHeight="1">
      <c r="A126" s="6"/>
      <c r="B126" s="100"/>
      <c r="C126" s="100" t="s">
        <v>123</v>
      </c>
      <c r="D126" s="100"/>
      <c r="E126" s="67" t="s">
        <v>124</v>
      </c>
      <c r="F126" s="44">
        <f>F127</f>
        <v>30000</v>
      </c>
      <c r="G126" s="44">
        <f t="shared" ref="G126:Q126" si="71">G127</f>
        <v>30000</v>
      </c>
      <c r="H126" s="44">
        <f t="shared" si="71"/>
        <v>0</v>
      </c>
      <c r="I126" s="44">
        <f t="shared" si="71"/>
        <v>20000</v>
      </c>
      <c r="J126" s="44">
        <f t="shared" si="71"/>
        <v>0</v>
      </c>
      <c r="K126" s="44">
        <f t="shared" si="71"/>
        <v>0</v>
      </c>
      <c r="L126" s="44">
        <f t="shared" si="71"/>
        <v>0</v>
      </c>
      <c r="M126" s="44">
        <f t="shared" si="71"/>
        <v>0</v>
      </c>
      <c r="N126" s="44">
        <f t="shared" si="71"/>
        <v>0</v>
      </c>
      <c r="O126" s="44">
        <f t="shared" si="71"/>
        <v>0</v>
      </c>
      <c r="P126" s="44">
        <f t="shared" si="71"/>
        <v>0</v>
      </c>
      <c r="Q126" s="44">
        <f t="shared" si="71"/>
        <v>30000</v>
      </c>
    </row>
    <row r="127" spans="1:17" s="7" customFormat="1" ht="21.75" customHeight="1">
      <c r="A127" s="6"/>
      <c r="B127" s="78" t="s">
        <v>125</v>
      </c>
      <c r="C127" s="78" t="s">
        <v>126</v>
      </c>
      <c r="D127" s="78" t="s">
        <v>127</v>
      </c>
      <c r="E127" s="79" t="s">
        <v>128</v>
      </c>
      <c r="F127" s="11">
        <f>G127</f>
        <v>30000</v>
      </c>
      <c r="G127" s="24">
        <v>30000</v>
      </c>
      <c r="H127" s="11">
        <v>0</v>
      </c>
      <c r="I127" s="24">
        <v>20000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f>F127+K127</f>
        <v>30000</v>
      </c>
    </row>
    <row r="128" spans="1:17" s="7" customFormat="1" ht="31.9" customHeight="1">
      <c r="A128" s="6"/>
      <c r="B128" s="100"/>
      <c r="C128" s="100" t="s">
        <v>116</v>
      </c>
      <c r="D128" s="100"/>
      <c r="E128" s="67" t="s">
        <v>117</v>
      </c>
      <c r="F128" s="44">
        <f>F129</f>
        <v>0</v>
      </c>
      <c r="G128" s="44">
        <f t="shared" ref="G128:Q130" si="72">G129</f>
        <v>0</v>
      </c>
      <c r="H128" s="44">
        <f t="shared" si="72"/>
        <v>0</v>
      </c>
      <c r="I128" s="44">
        <f t="shared" si="72"/>
        <v>0</v>
      </c>
      <c r="J128" s="44">
        <f t="shared" si="72"/>
        <v>0</v>
      </c>
      <c r="K128" s="44">
        <f>K129</f>
        <v>15000</v>
      </c>
      <c r="L128" s="44">
        <f t="shared" si="72"/>
        <v>0</v>
      </c>
      <c r="M128" s="44">
        <f t="shared" si="72"/>
        <v>15000</v>
      </c>
      <c r="N128" s="44">
        <f t="shared" si="72"/>
        <v>0</v>
      </c>
      <c r="O128" s="44">
        <f t="shared" si="72"/>
        <v>0</v>
      </c>
      <c r="P128" s="44">
        <f t="shared" si="72"/>
        <v>0</v>
      </c>
      <c r="Q128" s="44">
        <f t="shared" si="72"/>
        <v>15000</v>
      </c>
    </row>
    <row r="129" spans="1:18" s="7" customFormat="1" ht="32.25" customHeight="1">
      <c r="A129" s="6"/>
      <c r="B129" s="78" t="s">
        <v>52</v>
      </c>
      <c r="C129" s="78" t="s">
        <v>78</v>
      </c>
      <c r="D129" s="78"/>
      <c r="E129" s="79" t="s">
        <v>53</v>
      </c>
      <c r="F129" s="11">
        <f>F130</f>
        <v>0</v>
      </c>
      <c r="G129" s="11">
        <f t="shared" si="72"/>
        <v>0</v>
      </c>
      <c r="H129" s="11">
        <f t="shared" si="72"/>
        <v>0</v>
      </c>
      <c r="I129" s="11">
        <f t="shared" si="72"/>
        <v>0</v>
      </c>
      <c r="J129" s="11">
        <f t="shared" si="72"/>
        <v>0</v>
      </c>
      <c r="K129" s="11">
        <f t="shared" si="72"/>
        <v>15000</v>
      </c>
      <c r="L129" s="11">
        <f t="shared" si="72"/>
        <v>0</v>
      </c>
      <c r="M129" s="11">
        <f t="shared" si="72"/>
        <v>15000</v>
      </c>
      <c r="N129" s="11">
        <f t="shared" si="72"/>
        <v>0</v>
      </c>
      <c r="O129" s="11">
        <f t="shared" si="72"/>
        <v>0</v>
      </c>
      <c r="P129" s="11">
        <f t="shared" si="72"/>
        <v>0</v>
      </c>
      <c r="Q129" s="11">
        <f>F129+K129</f>
        <v>15000</v>
      </c>
    </row>
    <row r="130" spans="1:18" s="7" customFormat="1" ht="28.5" customHeight="1">
      <c r="A130" s="6"/>
      <c r="B130" s="78" t="s">
        <v>54</v>
      </c>
      <c r="C130" s="78" t="s">
        <v>75</v>
      </c>
      <c r="D130" s="78" t="s">
        <v>55</v>
      </c>
      <c r="E130" s="79" t="s">
        <v>56</v>
      </c>
      <c r="F130" s="11">
        <f>F131</f>
        <v>0</v>
      </c>
      <c r="G130" s="11">
        <f t="shared" si="72"/>
        <v>0</v>
      </c>
      <c r="H130" s="11">
        <f t="shared" si="72"/>
        <v>0</v>
      </c>
      <c r="I130" s="11">
        <f t="shared" si="72"/>
        <v>0</v>
      </c>
      <c r="J130" s="11">
        <f t="shared" si="72"/>
        <v>0</v>
      </c>
      <c r="K130" s="11">
        <f t="shared" si="72"/>
        <v>15000</v>
      </c>
      <c r="L130" s="11">
        <f t="shared" si="72"/>
        <v>0</v>
      </c>
      <c r="M130" s="11">
        <f t="shared" si="72"/>
        <v>15000</v>
      </c>
      <c r="N130" s="11">
        <f t="shared" si="72"/>
        <v>0</v>
      </c>
      <c r="O130" s="11">
        <f t="shared" si="72"/>
        <v>0</v>
      </c>
      <c r="P130" s="11">
        <f t="shared" si="72"/>
        <v>0</v>
      </c>
      <c r="Q130" s="11">
        <f t="shared" si="72"/>
        <v>15000</v>
      </c>
    </row>
    <row r="131" spans="1:18" s="7" customFormat="1" ht="21" customHeight="1">
      <c r="A131" s="6"/>
      <c r="B131" s="78"/>
      <c r="C131" s="78"/>
      <c r="D131" s="78"/>
      <c r="E131" s="80" t="s">
        <v>19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f>M131</f>
        <v>15000</v>
      </c>
      <c r="L131" s="11">
        <v>0</v>
      </c>
      <c r="M131" s="24">
        <v>15000</v>
      </c>
      <c r="N131" s="11">
        <v>0</v>
      </c>
      <c r="O131" s="11">
        <v>0</v>
      </c>
      <c r="P131" s="11">
        <v>0</v>
      </c>
      <c r="Q131" s="11">
        <f>F131+K131</f>
        <v>15000</v>
      </c>
    </row>
    <row r="132" spans="1:18" s="27" customFormat="1" ht="24" customHeight="1">
      <c r="A132" s="26"/>
      <c r="B132" s="60" t="s">
        <v>136</v>
      </c>
      <c r="C132" s="61" t="s">
        <v>3</v>
      </c>
      <c r="D132" s="62" t="s">
        <v>3</v>
      </c>
      <c r="E132" s="63" t="s">
        <v>137</v>
      </c>
      <c r="F132" s="64">
        <f>F133</f>
        <v>2124938</v>
      </c>
      <c r="G132" s="64">
        <f t="shared" ref="G132:P132" si="73">G133</f>
        <v>2074938</v>
      </c>
      <c r="H132" s="64">
        <f t="shared" si="73"/>
        <v>525000</v>
      </c>
      <c r="I132" s="64">
        <f t="shared" si="73"/>
        <v>10000</v>
      </c>
      <c r="J132" s="64">
        <f t="shared" si="73"/>
        <v>0</v>
      </c>
      <c r="K132" s="64">
        <f t="shared" si="73"/>
        <v>1370057</v>
      </c>
      <c r="L132" s="64">
        <f t="shared" si="73"/>
        <v>1370057</v>
      </c>
      <c r="M132" s="64">
        <f t="shared" si="73"/>
        <v>0</v>
      </c>
      <c r="N132" s="64">
        <f t="shared" si="73"/>
        <v>0</v>
      </c>
      <c r="O132" s="64">
        <f t="shared" si="73"/>
        <v>0</v>
      </c>
      <c r="P132" s="64">
        <f t="shared" si="73"/>
        <v>1370057</v>
      </c>
      <c r="Q132" s="64">
        <f>Q133</f>
        <v>3494995</v>
      </c>
    </row>
    <row r="133" spans="1:18" s="7" customFormat="1" ht="25.5" customHeight="1">
      <c r="A133" s="6"/>
      <c r="B133" s="65" t="s">
        <v>138</v>
      </c>
      <c r="C133" s="66"/>
      <c r="D133" s="140"/>
      <c r="E133" s="67" t="s">
        <v>137</v>
      </c>
      <c r="F133" s="44">
        <f>F134+F138+F136</f>
        <v>2124938</v>
      </c>
      <c r="G133" s="44">
        <f t="shared" ref="G133:Q133" si="74">G134+G138+G136</f>
        <v>2074938</v>
      </c>
      <c r="H133" s="44">
        <f t="shared" si="74"/>
        <v>525000</v>
      </c>
      <c r="I133" s="44">
        <f t="shared" si="74"/>
        <v>10000</v>
      </c>
      <c r="J133" s="44">
        <f t="shared" si="74"/>
        <v>0</v>
      </c>
      <c r="K133" s="44">
        <f t="shared" si="74"/>
        <v>1370057</v>
      </c>
      <c r="L133" s="44">
        <f t="shared" si="74"/>
        <v>1370057</v>
      </c>
      <c r="M133" s="44">
        <f t="shared" si="74"/>
        <v>0</v>
      </c>
      <c r="N133" s="44">
        <f t="shared" si="74"/>
        <v>0</v>
      </c>
      <c r="O133" s="44">
        <f t="shared" si="74"/>
        <v>0</v>
      </c>
      <c r="P133" s="44">
        <f t="shared" si="74"/>
        <v>1370057</v>
      </c>
      <c r="Q133" s="44">
        <f t="shared" si="74"/>
        <v>3494995</v>
      </c>
    </row>
    <row r="134" spans="1:18" s="7" customFormat="1" ht="15.75" customHeight="1">
      <c r="A134" s="6"/>
      <c r="B134" s="65"/>
      <c r="C134" s="65" t="s">
        <v>80</v>
      </c>
      <c r="D134" s="140"/>
      <c r="E134" s="67" t="s">
        <v>81</v>
      </c>
      <c r="F134" s="44">
        <f>F135</f>
        <v>712000</v>
      </c>
      <c r="G134" s="44">
        <f t="shared" ref="G134:P134" si="75">G135</f>
        <v>712000</v>
      </c>
      <c r="H134" s="44">
        <f t="shared" si="75"/>
        <v>525000</v>
      </c>
      <c r="I134" s="44">
        <f>I135</f>
        <v>10000</v>
      </c>
      <c r="J134" s="44">
        <f t="shared" si="75"/>
        <v>0</v>
      </c>
      <c r="K134" s="44">
        <f t="shared" si="75"/>
        <v>0</v>
      </c>
      <c r="L134" s="44">
        <f>L135</f>
        <v>0</v>
      </c>
      <c r="M134" s="44">
        <f>M135</f>
        <v>0</v>
      </c>
      <c r="N134" s="44">
        <f t="shared" si="75"/>
        <v>0</v>
      </c>
      <c r="O134" s="44">
        <f t="shared" si="75"/>
        <v>0</v>
      </c>
      <c r="P134" s="44">
        <f t="shared" si="75"/>
        <v>0</v>
      </c>
      <c r="Q134" s="44">
        <f t="shared" ref="Q134" si="76">F134+K134</f>
        <v>712000</v>
      </c>
    </row>
    <row r="135" spans="1:18" s="23" customFormat="1" ht="45" customHeight="1">
      <c r="A135" s="21"/>
      <c r="B135" s="122">
        <v>3710160</v>
      </c>
      <c r="C135" s="122" t="s">
        <v>85</v>
      </c>
      <c r="D135" s="122" t="s">
        <v>13</v>
      </c>
      <c r="E135" s="123" t="s">
        <v>14</v>
      </c>
      <c r="F135" s="22">
        <f>G135</f>
        <v>712000</v>
      </c>
      <c r="G135" s="32">
        <f>765000+15000-5000-13000-50000</f>
        <v>712000</v>
      </c>
      <c r="H135" s="32">
        <f>565000-40000</f>
        <v>525000</v>
      </c>
      <c r="I135" s="32">
        <f>23000-13000</f>
        <v>10000</v>
      </c>
      <c r="J135" s="22">
        <v>0</v>
      </c>
      <c r="K135" s="22">
        <f>L135</f>
        <v>0</v>
      </c>
      <c r="L135" s="32">
        <v>0</v>
      </c>
      <c r="M135" s="22">
        <v>0</v>
      </c>
      <c r="N135" s="22">
        <v>0</v>
      </c>
      <c r="O135" s="22">
        <v>0</v>
      </c>
      <c r="P135" s="22">
        <f>L135</f>
        <v>0</v>
      </c>
      <c r="Q135" s="22">
        <f>K135+F135</f>
        <v>712000</v>
      </c>
    </row>
    <row r="136" spans="1:18" s="41" customFormat="1" ht="21.75" customHeight="1">
      <c r="A136" s="40"/>
      <c r="B136" s="124"/>
      <c r="C136" s="124" t="s">
        <v>118</v>
      </c>
      <c r="D136" s="124"/>
      <c r="E136" s="125" t="s">
        <v>119</v>
      </c>
      <c r="F136" s="126">
        <f>F137</f>
        <v>50000</v>
      </c>
      <c r="G136" s="126">
        <f t="shared" ref="G136:P136" si="77">G137</f>
        <v>0</v>
      </c>
      <c r="H136" s="126">
        <f t="shared" si="77"/>
        <v>0</v>
      </c>
      <c r="I136" s="126">
        <f t="shared" si="77"/>
        <v>0</v>
      </c>
      <c r="J136" s="126">
        <f t="shared" si="77"/>
        <v>0</v>
      </c>
      <c r="K136" s="126">
        <f t="shared" si="77"/>
        <v>0</v>
      </c>
      <c r="L136" s="126">
        <f t="shared" si="77"/>
        <v>0</v>
      </c>
      <c r="M136" s="126">
        <f t="shared" si="77"/>
        <v>0</v>
      </c>
      <c r="N136" s="126">
        <f t="shared" si="77"/>
        <v>0</v>
      </c>
      <c r="O136" s="126">
        <f t="shared" si="77"/>
        <v>0</v>
      </c>
      <c r="P136" s="126">
        <f t="shared" si="77"/>
        <v>0</v>
      </c>
      <c r="Q136" s="127">
        <f t="shared" ref="Q136" si="78">F136+K136</f>
        <v>50000</v>
      </c>
    </row>
    <row r="137" spans="1:18" s="31" customFormat="1" ht="18.75" customHeight="1">
      <c r="A137" s="29"/>
      <c r="B137" s="110" t="s">
        <v>173</v>
      </c>
      <c r="C137" s="111">
        <v>8710</v>
      </c>
      <c r="D137" s="110" t="s">
        <v>57</v>
      </c>
      <c r="E137" s="128" t="s">
        <v>177</v>
      </c>
      <c r="F137" s="129">
        <f>100000-50000</f>
        <v>50000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f t="shared" ref="Q137" si="79">F137+K137</f>
        <v>50000</v>
      </c>
    </row>
    <row r="138" spans="1:18" s="7" customFormat="1" ht="24" customHeight="1">
      <c r="A138" s="6"/>
      <c r="B138" s="130"/>
      <c r="C138" s="140">
        <v>9000</v>
      </c>
      <c r="D138" s="100"/>
      <c r="E138" s="131" t="s">
        <v>202</v>
      </c>
      <c r="F138" s="44">
        <f>SUM(F139:F141)</f>
        <v>1362938</v>
      </c>
      <c r="G138" s="44">
        <f t="shared" ref="G138:Q138" si="80">SUM(G139:G141)</f>
        <v>1362938</v>
      </c>
      <c r="H138" s="44">
        <f t="shared" si="80"/>
        <v>0</v>
      </c>
      <c r="I138" s="44">
        <f t="shared" si="80"/>
        <v>0</v>
      </c>
      <c r="J138" s="44">
        <f t="shared" si="80"/>
        <v>0</v>
      </c>
      <c r="K138" s="44">
        <f>SUM(K139:K141)</f>
        <v>1370057</v>
      </c>
      <c r="L138" s="44">
        <f t="shared" si="80"/>
        <v>1370057</v>
      </c>
      <c r="M138" s="44">
        <f t="shared" si="80"/>
        <v>0</v>
      </c>
      <c r="N138" s="44">
        <f t="shared" si="80"/>
        <v>0</v>
      </c>
      <c r="O138" s="44">
        <f t="shared" si="80"/>
        <v>0</v>
      </c>
      <c r="P138" s="44">
        <f t="shared" si="80"/>
        <v>1370057</v>
      </c>
      <c r="Q138" s="44">
        <f t="shared" si="80"/>
        <v>2732995</v>
      </c>
    </row>
    <row r="139" spans="1:18" s="7" customFormat="1" ht="29.25" customHeight="1">
      <c r="A139" s="6"/>
      <c r="B139" s="132">
        <v>3719750</v>
      </c>
      <c r="C139" s="142">
        <v>9750</v>
      </c>
      <c r="D139" s="132" t="s">
        <v>58</v>
      </c>
      <c r="E139" s="116" t="s">
        <v>201</v>
      </c>
      <c r="F139" s="133">
        <v>0</v>
      </c>
      <c r="G139" s="133">
        <v>0</v>
      </c>
      <c r="H139" s="133">
        <v>0</v>
      </c>
      <c r="I139" s="133">
        <v>0</v>
      </c>
      <c r="J139" s="133">
        <v>0</v>
      </c>
      <c r="K139" s="22">
        <f>L139</f>
        <v>1079475</v>
      </c>
      <c r="L139" s="32">
        <v>1079475</v>
      </c>
      <c r="M139" s="22">
        <v>0</v>
      </c>
      <c r="N139" s="22">
        <v>0</v>
      </c>
      <c r="O139" s="22">
        <v>0</v>
      </c>
      <c r="P139" s="22">
        <f>L139</f>
        <v>1079475</v>
      </c>
      <c r="Q139" s="134">
        <f>F139+K139</f>
        <v>1079475</v>
      </c>
    </row>
    <row r="140" spans="1:18" s="13" customFormat="1" ht="25.5" customHeight="1">
      <c r="A140" s="12"/>
      <c r="B140" s="132">
        <v>3719770</v>
      </c>
      <c r="C140" s="132" t="s">
        <v>76</v>
      </c>
      <c r="D140" s="132" t="s">
        <v>58</v>
      </c>
      <c r="E140" s="135" t="s">
        <v>59</v>
      </c>
      <c r="F140" s="133">
        <f>G140</f>
        <v>1302938</v>
      </c>
      <c r="G140" s="71">
        <f>657614+25000+70000+12000+180000+293000+21052+36072+20000-20000+8200</f>
        <v>1302938</v>
      </c>
      <c r="H140" s="133">
        <v>0</v>
      </c>
      <c r="I140" s="133">
        <v>0</v>
      </c>
      <c r="J140" s="133">
        <v>0</v>
      </c>
      <c r="K140" s="133">
        <f>L140</f>
        <v>290582</v>
      </c>
      <c r="L140" s="71">
        <f>20000+220582+50000</f>
        <v>290582</v>
      </c>
      <c r="M140" s="133">
        <v>0</v>
      </c>
      <c r="N140" s="133">
        <v>0</v>
      </c>
      <c r="O140" s="133">
        <v>0</v>
      </c>
      <c r="P140" s="133">
        <f>L140</f>
        <v>290582</v>
      </c>
      <c r="Q140" s="134">
        <f>F140+K140</f>
        <v>1593520</v>
      </c>
    </row>
    <row r="141" spans="1:18" s="41" customFormat="1" ht="36.75" customHeight="1">
      <c r="A141" s="40"/>
      <c r="B141" s="136" t="s">
        <v>179</v>
      </c>
      <c r="C141" s="137">
        <v>9800</v>
      </c>
      <c r="D141" s="132" t="s">
        <v>58</v>
      </c>
      <c r="E141" s="163" t="s">
        <v>180</v>
      </c>
      <c r="F141" s="127">
        <f>G141</f>
        <v>60000</v>
      </c>
      <c r="G141" s="138">
        <f>40000+20000</f>
        <v>60000</v>
      </c>
      <c r="H141" s="133">
        <v>0</v>
      </c>
      <c r="I141" s="133">
        <v>0</v>
      </c>
      <c r="J141" s="133">
        <v>0</v>
      </c>
      <c r="K141" s="133">
        <v>0</v>
      </c>
      <c r="L141" s="133">
        <v>0</v>
      </c>
      <c r="M141" s="133">
        <v>0</v>
      </c>
      <c r="N141" s="133">
        <v>0</v>
      </c>
      <c r="O141" s="133">
        <v>0</v>
      </c>
      <c r="P141" s="133">
        <v>0</v>
      </c>
      <c r="Q141" s="139">
        <f t="shared" ref="Q141" si="81">F141+K141</f>
        <v>60000</v>
      </c>
    </row>
    <row r="142" spans="1:18" s="181" customFormat="1" ht="16.899999999999999" customHeight="1">
      <c r="A142" s="176"/>
      <c r="B142" s="177" t="s">
        <v>3</v>
      </c>
      <c r="C142" s="177" t="s">
        <v>3</v>
      </c>
      <c r="D142" s="177" t="s">
        <v>3</v>
      </c>
      <c r="E142" s="178" t="s">
        <v>1</v>
      </c>
      <c r="F142" s="179">
        <f t="shared" ref="F142:Q142" si="82">F132+F12</f>
        <v>71457176.180000007</v>
      </c>
      <c r="G142" s="179">
        <f t="shared" si="82"/>
        <v>71407176.180000007</v>
      </c>
      <c r="H142" s="179">
        <f t="shared" si="82"/>
        <v>45908549.480000004</v>
      </c>
      <c r="I142" s="179">
        <f t="shared" si="82"/>
        <v>3330199</v>
      </c>
      <c r="J142" s="179">
        <f t="shared" si="82"/>
        <v>0</v>
      </c>
      <c r="K142" s="179">
        <f t="shared" si="82"/>
        <v>6425987</v>
      </c>
      <c r="L142" s="179">
        <f t="shared" si="82"/>
        <v>5362987</v>
      </c>
      <c r="M142" s="179">
        <f t="shared" si="82"/>
        <v>1063000</v>
      </c>
      <c r="N142" s="179">
        <f t="shared" si="82"/>
        <v>10000</v>
      </c>
      <c r="O142" s="179">
        <f t="shared" si="82"/>
        <v>0</v>
      </c>
      <c r="P142" s="179">
        <f t="shared" si="82"/>
        <v>5362987</v>
      </c>
      <c r="Q142" s="179">
        <f t="shared" si="82"/>
        <v>77883163.180000007</v>
      </c>
      <c r="R142" s="180"/>
    </row>
    <row r="143" spans="1:18" s="16" customFormat="1" ht="104.25" customHeight="1">
      <c r="B143" s="145"/>
      <c r="C143" s="145"/>
      <c r="D143" s="145"/>
      <c r="E143" s="145" t="s">
        <v>207</v>
      </c>
      <c r="F143" s="145"/>
      <c r="G143" s="145"/>
      <c r="H143" s="145"/>
      <c r="I143" s="145"/>
      <c r="J143" s="145"/>
      <c r="K143" s="145" t="s">
        <v>208</v>
      </c>
      <c r="L143" s="145"/>
      <c r="M143" s="145"/>
      <c r="N143" s="145"/>
      <c r="O143" s="145"/>
      <c r="P143" s="145"/>
      <c r="Q143" s="145"/>
      <c r="R143" s="17"/>
    </row>
    <row r="144" spans="1:18" ht="39" customHeight="1">
      <c r="G144" s="18">
        <f>F142-G142</f>
        <v>50000</v>
      </c>
      <c r="H144" s="2" t="s">
        <v>222</v>
      </c>
    </row>
    <row r="145" spans="6:17">
      <c r="F145" s="3"/>
      <c r="K145" s="144" t="s">
        <v>209</v>
      </c>
      <c r="L145" s="175">
        <f>978000+27000+20000+20000</f>
        <v>1045000</v>
      </c>
      <c r="M145" s="175"/>
      <c r="O145" s="153" t="s">
        <v>235</v>
      </c>
      <c r="P145" s="154"/>
    </row>
    <row r="146" spans="6:17" ht="21" customHeight="1">
      <c r="F146" s="18" t="s">
        <v>211</v>
      </c>
      <c r="G146" s="2">
        <f>67592411+117386+77534+1158-6111</f>
        <v>67782378</v>
      </c>
      <c r="K146" s="143" t="s">
        <v>210</v>
      </c>
      <c r="M146" s="165">
        <f>L145-K142</f>
        <v>-5380987</v>
      </c>
      <c r="N146" s="165"/>
      <c r="O146" s="164">
        <f>L142-P150</f>
        <v>5310917</v>
      </c>
      <c r="P146" s="164"/>
      <c r="Q146" s="156"/>
    </row>
    <row r="147" spans="6:17" ht="16.5" customHeight="1">
      <c r="F147" s="143" t="s">
        <v>210</v>
      </c>
      <c r="G147" s="59"/>
      <c r="O147" s="155"/>
      <c r="P147" s="155"/>
    </row>
    <row r="148" spans="6:17" ht="18.75" customHeight="1">
      <c r="F148" s="165">
        <f>G146-F142</f>
        <v>-3674798.1800000072</v>
      </c>
      <c r="G148" s="165"/>
      <c r="O148" s="155" t="s">
        <v>236</v>
      </c>
      <c r="P148" s="164">
        <f>5369900-11590-40000-7393</f>
        <v>5310917</v>
      </c>
      <c r="Q148" s="164"/>
    </row>
    <row r="149" spans="6:17" ht="16.899999999999999" customHeight="1">
      <c r="G149" s="157"/>
    </row>
    <row r="150" spans="6:17" ht="29.25" customHeight="1">
      <c r="O150" s="4" t="s">
        <v>241</v>
      </c>
      <c r="P150" s="152">
        <f>L142-P148</f>
        <v>52070</v>
      </c>
      <c r="Q150" s="4" t="s">
        <v>240</v>
      </c>
    </row>
    <row r="151" spans="6:17" ht="40.5" customHeight="1"/>
    <row r="152" spans="6:17" ht="28.5" customHeight="1"/>
    <row r="153" spans="6:17" ht="66.599999999999994" customHeight="1">
      <c r="K153" s="2"/>
      <c r="L153" s="2"/>
      <c r="M153" s="2"/>
      <c r="N153" s="2"/>
      <c r="O153" s="2"/>
      <c r="P153" s="2"/>
      <c r="Q153" s="2"/>
    </row>
    <row r="154" spans="6:17" ht="34.15" customHeight="1">
      <c r="K154" s="2"/>
      <c r="L154" s="2"/>
      <c r="M154" s="2"/>
      <c r="N154" s="2"/>
      <c r="O154" s="2"/>
      <c r="P154" s="2"/>
      <c r="Q154" s="2"/>
    </row>
    <row r="155" spans="6:17" ht="58.15" customHeight="1">
      <c r="K155" s="2"/>
      <c r="L155" s="2"/>
      <c r="M155" s="2"/>
      <c r="N155" s="2"/>
      <c r="O155" s="2"/>
      <c r="P155" s="2"/>
      <c r="Q155" s="2"/>
    </row>
    <row r="156" spans="6:17" ht="58.15" customHeight="1">
      <c r="K156" s="2"/>
      <c r="L156" s="2"/>
      <c r="M156" s="2"/>
      <c r="N156" s="2"/>
      <c r="O156" s="2"/>
      <c r="P156" s="2"/>
      <c r="Q156" s="2"/>
    </row>
    <row r="157" spans="6:17" ht="19.899999999999999" customHeight="1">
      <c r="K157" s="2"/>
      <c r="L157" s="2"/>
      <c r="M157" s="2"/>
      <c r="N157" s="2"/>
      <c r="O157" s="2"/>
      <c r="P157" s="2"/>
      <c r="Q157" s="2"/>
    </row>
    <row r="158" spans="6:17" ht="40.15" customHeight="1">
      <c r="K158" s="2"/>
      <c r="L158" s="2"/>
      <c r="M158" s="2"/>
      <c r="N158" s="2"/>
      <c r="O158" s="2"/>
      <c r="P158" s="2"/>
      <c r="Q158" s="2"/>
    </row>
    <row r="159" spans="6:17" ht="40.15" customHeight="1">
      <c r="K159" s="2"/>
      <c r="L159" s="2"/>
      <c r="M159" s="2"/>
      <c r="N159" s="2"/>
      <c r="O159" s="2"/>
      <c r="P159" s="2"/>
      <c r="Q159" s="2"/>
    </row>
    <row r="160" spans="6:17" ht="49.15" customHeight="1">
      <c r="K160" s="2"/>
      <c r="L160" s="2"/>
      <c r="M160" s="2"/>
      <c r="N160" s="2"/>
      <c r="O160" s="2"/>
      <c r="P160" s="2"/>
      <c r="Q160" s="2"/>
    </row>
    <row r="161" spans="11:17" ht="16.149999999999999" customHeight="1">
      <c r="K161" s="2"/>
      <c r="L161" s="2"/>
      <c r="M161" s="2"/>
      <c r="N161" s="2"/>
      <c r="O161" s="2"/>
      <c r="P161" s="2"/>
      <c r="Q161" s="2"/>
    </row>
    <row r="162" spans="11:17" ht="16.149999999999999" customHeight="1">
      <c r="K162" s="2"/>
      <c r="L162" s="2"/>
      <c r="M162" s="2"/>
      <c r="N162" s="2"/>
      <c r="O162" s="2"/>
      <c r="P162" s="2"/>
      <c r="Q162" s="2"/>
    </row>
    <row r="163" spans="11:17" ht="42.75" customHeight="1">
      <c r="K163" s="2"/>
      <c r="L163" s="2"/>
      <c r="M163" s="2"/>
      <c r="N163" s="2"/>
      <c r="O163" s="2"/>
      <c r="P163" s="2"/>
      <c r="Q163" s="2"/>
    </row>
    <row r="164" spans="11:17" ht="17.45" customHeight="1">
      <c r="K164" s="2"/>
      <c r="L164" s="2"/>
      <c r="M164" s="2"/>
      <c r="N164" s="2"/>
      <c r="O164" s="2"/>
      <c r="P164" s="2"/>
      <c r="Q164" s="2"/>
    </row>
    <row r="165" spans="11:17" ht="15" hidden="1" customHeight="1">
      <c r="K165" s="2"/>
      <c r="L165" s="2"/>
      <c r="M165" s="2"/>
      <c r="N165" s="2"/>
      <c r="O165" s="2"/>
      <c r="P165" s="2"/>
      <c r="Q165" s="2"/>
    </row>
    <row r="166" spans="11:17" ht="61.9" customHeight="1">
      <c r="K166" s="2"/>
      <c r="L166" s="2"/>
      <c r="M166" s="2"/>
      <c r="N166" s="2"/>
      <c r="O166" s="2"/>
      <c r="P166" s="2"/>
      <c r="Q166" s="2"/>
    </row>
    <row r="167" spans="11:17" ht="27" customHeight="1">
      <c r="K167" s="2"/>
      <c r="L167" s="2"/>
      <c r="M167" s="2"/>
      <c r="N167" s="2"/>
      <c r="O167" s="2"/>
      <c r="P167" s="2"/>
      <c r="Q167" s="2"/>
    </row>
    <row r="168" spans="11:17" ht="35.25" customHeight="1">
      <c r="K168" s="2"/>
      <c r="L168" s="2"/>
      <c r="M168" s="2"/>
      <c r="N168" s="2"/>
      <c r="O168" s="2"/>
      <c r="P168" s="2"/>
      <c r="Q168" s="2"/>
    </row>
    <row r="169" spans="11:17" ht="60" customHeight="1">
      <c r="K169" s="2"/>
      <c r="L169" s="2"/>
      <c r="M169" s="2"/>
      <c r="N169" s="2"/>
      <c r="O169" s="2"/>
      <c r="P169" s="2"/>
      <c r="Q169" s="2"/>
    </row>
    <row r="170" spans="11:17" ht="27" customHeight="1">
      <c r="K170" s="2"/>
      <c r="L170" s="2"/>
      <c r="M170" s="2"/>
      <c r="N170" s="2"/>
      <c r="O170" s="2"/>
      <c r="P170" s="2"/>
      <c r="Q170" s="2"/>
    </row>
    <row r="171" spans="11:17" ht="54.75" customHeight="1">
      <c r="K171" s="2"/>
      <c r="L171" s="2"/>
      <c r="M171" s="2"/>
      <c r="N171" s="2"/>
      <c r="O171" s="2"/>
      <c r="P171" s="2"/>
      <c r="Q171" s="2"/>
    </row>
    <row r="172" spans="11:17" ht="23.45" customHeight="1">
      <c r="K172" s="2"/>
      <c r="L172" s="2"/>
      <c r="M172" s="2"/>
      <c r="N172" s="2"/>
      <c r="O172" s="2"/>
      <c r="P172" s="2"/>
      <c r="Q172" s="2"/>
    </row>
    <row r="173" spans="11:17" ht="15" hidden="1" customHeight="1">
      <c r="K173" s="2"/>
      <c r="L173" s="2"/>
      <c r="M173" s="2"/>
      <c r="N173" s="2"/>
      <c r="O173" s="2"/>
      <c r="P173" s="2"/>
      <c r="Q173" s="2"/>
    </row>
    <row r="174" spans="11:17" ht="77.45" customHeight="1">
      <c r="K174" s="2"/>
      <c r="L174" s="2"/>
      <c r="M174" s="2"/>
      <c r="N174" s="2"/>
      <c r="O174" s="2"/>
      <c r="P174" s="2"/>
      <c r="Q174" s="2"/>
    </row>
    <row r="175" spans="11:17" ht="24.75" customHeight="1">
      <c r="K175" s="2"/>
      <c r="L175" s="2"/>
      <c r="M175" s="2"/>
      <c r="N175" s="2"/>
      <c r="O175" s="2"/>
      <c r="P175" s="2"/>
      <c r="Q175" s="2"/>
    </row>
    <row r="176" spans="11:17" ht="18" customHeight="1">
      <c r="K176" s="2"/>
      <c r="L176" s="2"/>
      <c r="M176" s="2"/>
      <c r="N176" s="2"/>
      <c r="O176" s="2"/>
      <c r="P176" s="2"/>
      <c r="Q176" s="2"/>
    </row>
    <row r="177" spans="11:17" ht="118.15" customHeight="1">
      <c r="K177" s="2"/>
      <c r="L177" s="2"/>
      <c r="M177" s="2"/>
      <c r="N177" s="2"/>
      <c r="O177" s="2"/>
      <c r="P177" s="2"/>
      <c r="Q177" s="2"/>
    </row>
    <row r="178" spans="11:17" ht="20.45" customHeight="1">
      <c r="K178" s="2"/>
      <c r="L178" s="2"/>
      <c r="M178" s="2"/>
      <c r="N178" s="2"/>
      <c r="O178" s="2"/>
      <c r="P178" s="2"/>
      <c r="Q178" s="2"/>
    </row>
    <row r="179" spans="11:17" ht="52.5" customHeight="1">
      <c r="K179" s="2"/>
      <c r="L179" s="2"/>
      <c r="M179" s="2"/>
      <c r="N179" s="2"/>
      <c r="O179" s="2"/>
      <c r="P179" s="2"/>
      <c r="Q179" s="2"/>
    </row>
    <row r="180" spans="11:17" ht="51.75" customHeight="1">
      <c r="K180" s="2"/>
      <c r="L180" s="2"/>
      <c r="M180" s="2"/>
      <c r="N180" s="2"/>
      <c r="O180" s="2"/>
      <c r="P180" s="2"/>
      <c r="Q180" s="2"/>
    </row>
    <row r="181" spans="11:17" ht="25.5" customHeight="1">
      <c r="K181" s="2"/>
      <c r="L181" s="2"/>
      <c r="M181" s="2"/>
      <c r="N181" s="2"/>
      <c r="O181" s="2"/>
      <c r="P181" s="2"/>
      <c r="Q181" s="2"/>
    </row>
    <row r="182" spans="11:17" ht="51.75" customHeight="1">
      <c r="K182" s="2"/>
      <c r="L182" s="2"/>
      <c r="M182" s="2"/>
      <c r="N182" s="2"/>
      <c r="O182" s="2"/>
      <c r="P182" s="2"/>
      <c r="Q182" s="2"/>
    </row>
    <row r="183" spans="11:17" ht="57.75" customHeight="1">
      <c r="K183" s="2"/>
      <c r="L183" s="2"/>
      <c r="M183" s="2"/>
      <c r="N183" s="2"/>
      <c r="O183" s="2"/>
      <c r="P183" s="2"/>
      <c r="Q183" s="2"/>
    </row>
    <row r="184" spans="11:17" ht="28.9" customHeight="1">
      <c r="K184" s="2"/>
      <c r="L184" s="2"/>
      <c r="M184" s="2"/>
      <c r="N184" s="2"/>
      <c r="O184" s="2"/>
      <c r="P184" s="2"/>
      <c r="Q184" s="2"/>
    </row>
    <row r="185" spans="11:17" ht="25.5" customHeight="1">
      <c r="K185" s="2"/>
      <c r="L185" s="2"/>
      <c r="M185" s="2"/>
      <c r="N185" s="2"/>
      <c r="O185" s="2"/>
      <c r="P185" s="2"/>
      <c r="Q185" s="2"/>
    </row>
    <row r="186" spans="11:17" ht="25.5" customHeight="1">
      <c r="K186" s="2"/>
      <c r="L186" s="2"/>
      <c r="M186" s="2"/>
      <c r="N186" s="2"/>
      <c r="O186" s="2"/>
      <c r="P186" s="2"/>
      <c r="Q186" s="2"/>
    </row>
    <row r="187" spans="11:17" ht="18" customHeight="1">
      <c r="K187" s="2"/>
      <c r="L187" s="2"/>
      <c r="M187" s="2"/>
      <c r="N187" s="2"/>
      <c r="O187" s="2"/>
      <c r="P187" s="2"/>
      <c r="Q187" s="2"/>
    </row>
    <row r="188" spans="11:17" ht="20.45" customHeight="1">
      <c r="K188" s="2"/>
      <c r="L188" s="2"/>
      <c r="M188" s="2"/>
      <c r="N188" s="2"/>
      <c r="O188" s="2"/>
      <c r="P188" s="2"/>
      <c r="Q188" s="2"/>
    </row>
    <row r="189" spans="11:17">
      <c r="K189" s="2"/>
      <c r="L189" s="2"/>
      <c r="M189" s="2"/>
      <c r="N189" s="2"/>
      <c r="O189" s="2"/>
      <c r="P189" s="2"/>
      <c r="Q189" s="2"/>
    </row>
    <row r="190" spans="11:17" ht="25.5" customHeight="1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>
      <c r="K193" s="2"/>
      <c r="L193" s="2"/>
      <c r="M193" s="2"/>
      <c r="N193" s="2"/>
      <c r="O193" s="2"/>
      <c r="P193" s="2"/>
      <c r="Q193" s="2"/>
    </row>
    <row r="195" spans="11:17">
      <c r="K195" s="2"/>
      <c r="L195" s="2"/>
      <c r="M195" s="2"/>
      <c r="N195" s="2"/>
      <c r="O195" s="2"/>
      <c r="P195" s="2"/>
      <c r="Q195" s="2"/>
    </row>
    <row r="196" spans="11:17">
      <c r="K196" s="2"/>
      <c r="L196" s="2"/>
      <c r="M196" s="2"/>
      <c r="N196" s="2"/>
      <c r="O196" s="2"/>
      <c r="P196" s="2"/>
      <c r="Q196" s="2"/>
    </row>
    <row r="197" spans="11:17">
      <c r="K197" s="2"/>
      <c r="L197" s="2"/>
      <c r="M197" s="2"/>
      <c r="N197" s="2"/>
      <c r="O197" s="2"/>
      <c r="P197" s="2"/>
      <c r="Q197" s="2"/>
    </row>
  </sheetData>
  <mergeCells count="124"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  <mergeCell ref="L145:M145"/>
    <mergeCell ref="K119:P119"/>
    <mergeCell ref="Q119:Q121"/>
    <mergeCell ref="F120:F121"/>
    <mergeCell ref="G120:G121"/>
    <mergeCell ref="H120:I120"/>
    <mergeCell ref="J120:J121"/>
    <mergeCell ref="K120:K121"/>
    <mergeCell ref="L120:L121"/>
    <mergeCell ref="M120:M121"/>
    <mergeCell ref="N120:O120"/>
    <mergeCell ref="P120:P121"/>
    <mergeCell ref="B119:B121"/>
    <mergeCell ref="C119:C121"/>
    <mergeCell ref="D119:D121"/>
    <mergeCell ref="E119:E121"/>
    <mergeCell ref="F119:J119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Q115:Q117"/>
    <mergeCell ref="F116:F117"/>
    <mergeCell ref="G116:G117"/>
    <mergeCell ref="H116:I116"/>
    <mergeCell ref="J116:J117"/>
    <mergeCell ref="K116:K117"/>
    <mergeCell ref="L116:L117"/>
    <mergeCell ref="M116:M117"/>
    <mergeCell ref="N116:O116"/>
    <mergeCell ref="P116:P117"/>
    <mergeCell ref="F115:J115"/>
    <mergeCell ref="K115:P115"/>
    <mergeCell ref="B115:B117"/>
    <mergeCell ref="C115:C117"/>
    <mergeCell ref="D115:D117"/>
    <mergeCell ref="E115:E117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F47:J47"/>
    <mergeCell ref="K47:P47"/>
    <mergeCell ref="D70:D72"/>
    <mergeCell ref="E70:E72"/>
    <mergeCell ref="F70:J70"/>
    <mergeCell ref="K70:P70"/>
    <mergeCell ref="F48:F49"/>
    <mergeCell ref="G48:G49"/>
    <mergeCell ref="N31:O31"/>
    <mergeCell ref="P31:P32"/>
    <mergeCell ref="K9:K10"/>
    <mergeCell ref="L9:L10"/>
    <mergeCell ref="M9:M10"/>
    <mergeCell ref="B6:C6"/>
    <mergeCell ref="B7:C7"/>
    <mergeCell ref="B92:B94"/>
    <mergeCell ref="C92:C94"/>
    <mergeCell ref="D92:D94"/>
    <mergeCell ref="E92:E94"/>
    <mergeCell ref="F92:J92"/>
    <mergeCell ref="H48:I48"/>
    <mergeCell ref="J48:J49"/>
    <mergeCell ref="K48:K49"/>
    <mergeCell ref="L48:L49"/>
    <mergeCell ref="M48:M49"/>
    <mergeCell ref="N48:O48"/>
    <mergeCell ref="P48:P49"/>
    <mergeCell ref="O146:P146"/>
    <mergeCell ref="P148:Q148"/>
    <mergeCell ref="F148:G148"/>
    <mergeCell ref="M146:N146"/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</mergeCells>
  <pageMargins left="0.7" right="0.7" top="0.75" bottom="0.75" header="0.3" footer="0.3"/>
  <pageSetup paperSize="9" scale="66" orientation="landscape" r:id="rId1"/>
  <rowBreaks count="5" manualBreakCount="5">
    <brk id="26" min="1" max="18" man="1"/>
    <brk id="46" min="1" max="18" man="1"/>
    <brk id="69" min="1" max="18" man="1"/>
    <brk id="91" min="1" max="18" man="1"/>
    <brk id="118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2021-12-03T14:17:35Z</dcterms:modified>
</cp:coreProperties>
</file>