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10" yWindow="3345" windowWidth="24150" windowHeight="9240" tabRatio="604"/>
  </bookViews>
  <sheets>
    <sheet name="листопад" sheetId="38" r:id="rId1"/>
  </sheets>
  <definedNames>
    <definedName name="_xlnm.Print_Area" localSheetId="0">листопад!$A$1:$W$76</definedName>
  </definedNames>
  <calcPr calcId="145621"/>
</workbook>
</file>

<file path=xl/calcChain.xml><?xml version="1.0" encoding="utf-8"?>
<calcChain xmlns="http://schemas.openxmlformats.org/spreadsheetml/2006/main">
  <c r="U46" i="38" l="1"/>
  <c r="T46" i="38"/>
  <c r="N45" i="38" l="1"/>
  <c r="H56" i="38"/>
  <c r="H55" i="38"/>
  <c r="H54" i="38"/>
  <c r="H53" i="38"/>
  <c r="N52" i="38"/>
  <c r="H52" i="38"/>
  <c r="U52" i="38" s="1"/>
  <c r="W52" i="38" s="1"/>
  <c r="K51" i="38"/>
  <c r="H51" i="38"/>
  <c r="Q51" i="38" s="1"/>
  <c r="U51" i="38" s="1"/>
  <c r="W51" i="38" s="1"/>
  <c r="H50" i="38"/>
  <c r="Q50" i="38" s="1"/>
  <c r="H49" i="38"/>
  <c r="U49" i="38" s="1"/>
  <c r="H48" i="38"/>
  <c r="S48" i="38" s="1"/>
  <c r="U48" i="38" s="1"/>
  <c r="W48" i="38" s="1"/>
  <c r="L47" i="38"/>
  <c r="H47" i="38"/>
  <c r="S47" i="38" s="1"/>
  <c r="U47" i="38" s="1"/>
  <c r="W47" i="38" s="1"/>
  <c r="H46" i="38"/>
  <c r="N57" i="38"/>
  <c r="H45" i="38"/>
  <c r="U44" i="38"/>
  <c r="H44" i="38"/>
  <c r="W43" i="38"/>
  <c r="T42" i="38"/>
  <c r="T57" i="38" s="1"/>
  <c r="T58" i="38" s="1"/>
  <c r="L42" i="38"/>
  <c r="H42" i="38"/>
  <c r="S42" i="38" s="1"/>
  <c r="W41" i="38"/>
  <c r="U41" i="38"/>
  <c r="D41" i="38"/>
  <c r="D57" i="38" s="1"/>
  <c r="W40" i="38"/>
  <c r="H39" i="38"/>
  <c r="S39" i="38" s="1"/>
  <c r="L38" i="38"/>
  <c r="H38" i="38"/>
  <c r="S38" i="38" s="1"/>
  <c r="U38" i="38" s="1"/>
  <c r="W38" i="38" s="1"/>
  <c r="H37" i="38"/>
  <c r="S37" i="38" s="1"/>
  <c r="F37" i="38"/>
  <c r="H36" i="38"/>
  <c r="S36" i="38" s="1"/>
  <c r="F36" i="38"/>
  <c r="T34" i="38"/>
  <c r="G34" i="38"/>
  <c r="G58" i="38" s="1"/>
  <c r="D34" i="38"/>
  <c r="D58" i="38" s="1"/>
  <c r="H33" i="38"/>
  <c r="N33" i="38" s="1"/>
  <c r="H32" i="38"/>
  <c r="N32" i="38" s="1"/>
  <c r="H31" i="38"/>
  <c r="Q31" i="38" s="1"/>
  <c r="N30" i="38"/>
  <c r="U30" i="38" s="1"/>
  <c r="W30" i="38" s="1"/>
  <c r="H30" i="38"/>
  <c r="Q30" i="38" s="1"/>
  <c r="H29" i="38"/>
  <c r="N29" i="38" s="1"/>
  <c r="U28" i="38"/>
  <c r="W28" i="38" s="1"/>
  <c r="H28" i="38"/>
  <c r="H27" i="38"/>
  <c r="K27" i="38" s="1"/>
  <c r="K26" i="38"/>
  <c r="H26" i="38"/>
  <c r="N26" i="38" s="1"/>
  <c r="U26" i="38" s="1"/>
  <c r="W26" i="38" s="1"/>
  <c r="S25" i="38"/>
  <c r="L25" i="38"/>
  <c r="H25" i="38"/>
  <c r="N25" i="38" s="1"/>
  <c r="S24" i="38"/>
  <c r="L24" i="38"/>
  <c r="H24" i="38"/>
  <c r="N24" i="38" s="1"/>
  <c r="S23" i="38"/>
  <c r="S34" i="38" s="1"/>
  <c r="L23" i="38"/>
  <c r="L34" i="38" s="1"/>
  <c r="H23" i="38"/>
  <c r="H34" i="38" s="1"/>
  <c r="S21" i="38"/>
  <c r="L21" i="38"/>
  <c r="H21" i="38"/>
  <c r="N21" i="38" s="1"/>
  <c r="U25" i="38" l="1"/>
  <c r="W25" i="38" s="1"/>
  <c r="U21" i="38"/>
  <c r="W21" i="38" s="1"/>
  <c r="U24" i="38"/>
  <c r="W24" i="38" s="1"/>
  <c r="V49" i="38"/>
  <c r="W49" i="38" s="1"/>
  <c r="S57" i="38"/>
  <c r="S58" i="38" s="1"/>
  <c r="U37" i="38"/>
  <c r="W37" i="38" s="1"/>
  <c r="U50" i="38"/>
  <c r="W50" i="38" s="1"/>
  <c r="U56" i="38"/>
  <c r="W56" i="38" s="1"/>
  <c r="N27" i="38"/>
  <c r="U27" i="38" s="1"/>
  <c r="W27" i="38" s="1"/>
  <c r="N23" i="38"/>
  <c r="N34" i="38" s="1"/>
  <c r="N58" i="38" s="1"/>
  <c r="K29" i="38"/>
  <c r="K34" i="38" s="1"/>
  <c r="N31" i="38"/>
  <c r="U31" i="38" s="1"/>
  <c r="V31" i="38" s="1"/>
  <c r="K32" i="38"/>
  <c r="U32" i="38" s="1"/>
  <c r="W32" i="38" s="1"/>
  <c r="Q32" i="38"/>
  <c r="Q34" i="38" s="1"/>
  <c r="K33" i="38"/>
  <c r="U33" i="38" s="1"/>
  <c r="W33" i="38" s="1"/>
  <c r="Q33" i="38"/>
  <c r="L36" i="38"/>
  <c r="L57" i="38" s="1"/>
  <c r="L58" i="38" s="1"/>
  <c r="L37" i="38"/>
  <c r="L39" i="38"/>
  <c r="U39" i="38" s="1"/>
  <c r="W39" i="38" s="1"/>
  <c r="U42" i="38"/>
  <c r="W42" i="38" s="1"/>
  <c r="V44" i="38"/>
  <c r="U45" i="38"/>
  <c r="W45" i="38" s="1"/>
  <c r="W46" i="38"/>
  <c r="K50" i="38"/>
  <c r="K53" i="38"/>
  <c r="U53" i="38" s="1"/>
  <c r="W53" i="38" s="1"/>
  <c r="K54" i="38"/>
  <c r="U54" i="38" s="1"/>
  <c r="W54" i="38" s="1"/>
  <c r="K55" i="38"/>
  <c r="U55" i="38" s="1"/>
  <c r="W55" i="38" s="1"/>
  <c r="Q56" i="38"/>
  <c r="Q57" i="38" s="1"/>
  <c r="Q58" i="38" s="1"/>
  <c r="H57" i="38"/>
  <c r="H58" i="38" s="1"/>
  <c r="V57" i="38" l="1"/>
  <c r="K57" i="38"/>
  <c r="K58" i="38" s="1"/>
  <c r="V34" i="38"/>
  <c r="W31" i="38"/>
  <c r="U23" i="38"/>
  <c r="U36" i="38"/>
  <c r="U29" i="38"/>
  <c r="W29" i="38" s="1"/>
  <c r="W44" i="38"/>
  <c r="U34" i="38" l="1"/>
  <c r="W34" i="38" s="1"/>
  <c r="X34" i="38" s="1"/>
  <c r="W23" i="38"/>
  <c r="V58" i="38"/>
  <c r="U57" i="38"/>
  <c r="W36" i="38"/>
  <c r="W57" i="38" l="1"/>
  <c r="W58" i="38" s="1"/>
  <c r="U58" i="38"/>
</calcChain>
</file>

<file path=xl/sharedStrings.xml><?xml version="1.0" encoding="utf-8"?>
<sst xmlns="http://schemas.openxmlformats.org/spreadsheetml/2006/main" count="102" uniqueCount="92">
  <si>
    <t>ЗАТВЕРДЖУЮ:</t>
  </si>
  <si>
    <t>Сільський голова</t>
  </si>
  <si>
    <t>Назва  структурного підрозділу  та посад</t>
  </si>
  <si>
    <t>Розряд</t>
  </si>
  <si>
    <t>Посадовий оклад</t>
  </si>
  <si>
    <t>НАДБАВКИ (грн.)</t>
  </si>
  <si>
    <t xml:space="preserve">           ДОПЛАТИ (грн. )</t>
  </si>
  <si>
    <t>Фонд  заробітної плати  на  місяць (грн.)</t>
  </si>
  <si>
    <t>№</t>
  </si>
  <si>
    <t>% надбавки</t>
  </si>
  <si>
    <t>За роботу в нічний час</t>
  </si>
  <si>
    <t>За вислугу років</t>
  </si>
  <si>
    <t>грн.</t>
  </si>
  <si>
    <t>%</t>
  </si>
  <si>
    <t xml:space="preserve">                                               всього</t>
  </si>
  <si>
    <t xml:space="preserve">  ВСЬОГО:</t>
  </si>
  <si>
    <t>код</t>
  </si>
  <si>
    <t>КП</t>
  </si>
  <si>
    <t>2445.2</t>
  </si>
  <si>
    <t>Практичний психолог</t>
  </si>
  <si>
    <t>всього</t>
  </si>
  <si>
    <t>Сторож</t>
  </si>
  <si>
    <t>Двірник</t>
  </si>
  <si>
    <t>Комірник</t>
  </si>
  <si>
    <t>3/п</t>
  </si>
  <si>
    <t>За класність 25%</t>
  </si>
  <si>
    <t>Завідувач господарства</t>
  </si>
  <si>
    <t>Підсобний робітник</t>
  </si>
  <si>
    <t>1229.6</t>
  </si>
  <si>
    <t xml:space="preserve"> за 180 дітей</t>
  </si>
  <si>
    <t>ЧЕРКАСЬКОГО РАЙОНУ ЧЕРКАСЬКОЇ ОБЛАСТІ</t>
  </si>
  <si>
    <t>складність, напруженість, інтенсивність</t>
  </si>
  <si>
    <t>Доплата до мінімальної ЗП (грн)</t>
  </si>
  <si>
    <t>Фонд з доплатою до мінімальної ЗП (грн)</t>
  </si>
  <si>
    <t>Прибиральник службових приміщень</t>
  </si>
  <si>
    <t>Машиніст (кочегар) котельні (сезонний)</t>
  </si>
  <si>
    <t xml:space="preserve">Помічник вихователя </t>
  </si>
  <si>
    <t>Сестра медична</t>
  </si>
  <si>
    <t xml:space="preserve">Кухар </t>
  </si>
  <si>
    <t>ДОШКІЛЬНИЙ ПІДРОЗДІЛ</t>
  </si>
  <si>
    <t>Машиніст (кочегар) котельні (річний)</t>
  </si>
  <si>
    <t>кількість класів</t>
  </si>
  <si>
    <t>кількість учнів</t>
  </si>
  <si>
    <t>кількість дитячих груп</t>
  </si>
  <si>
    <t>кількість дітей</t>
  </si>
  <si>
    <t>ШКІЛЬНИЙ ПІДРОЗДІЛ</t>
  </si>
  <si>
    <t>95% (16)</t>
  </si>
  <si>
    <t>90% (16)</t>
  </si>
  <si>
    <t>Ставка на посадовий оклад з підвищ.</t>
  </si>
  <si>
    <t>Педагог організатор</t>
  </si>
  <si>
    <t>Інші допл.   надбавки</t>
  </si>
  <si>
    <t>Вчитель</t>
  </si>
  <si>
    <t>згідно тарифікації</t>
  </si>
  <si>
    <t>Інженер-електронік</t>
  </si>
  <si>
    <t>Постанова №373 від 23.01.11      Пост. №1073(бібл.)</t>
  </si>
  <si>
    <t>Робітник з комплексного обслуговування й ремонту будинків (споруд і обладнання)</t>
  </si>
  <si>
    <t>Машиніст (кочегар) котельні річний</t>
  </si>
  <si>
    <t>Машиніст (кочегар) котельні сезонний</t>
  </si>
  <si>
    <t xml:space="preserve">Вихователь </t>
  </si>
  <si>
    <t>Вихователь</t>
  </si>
  <si>
    <t>1210.1</t>
  </si>
  <si>
    <t>Педагог соціальний</t>
  </si>
  <si>
    <t>2359.2</t>
  </si>
  <si>
    <t>2144.2</t>
  </si>
  <si>
    <t>Машиніст із прання та ремонту спецодягу</t>
  </si>
  <si>
    <t>Асистент вчителя</t>
  </si>
  <si>
    <t>ІРДИНСЬКИЙ ЛІЦЕЙ - ЗАКЛАД ЗАГАЛЬНОЇ СЕРЕДНЬОЇ</t>
  </si>
  <si>
    <t>ОСВІТИ З ДОШКІЛЬНИМ ПІДРОЗДІЛОМ БІЛОЗІРСЬКОЇ</t>
  </si>
  <si>
    <t xml:space="preserve">СІЛЬСЬКОЇ  РАДИ </t>
  </si>
  <si>
    <t>К-сть штатних одиниць</t>
  </si>
  <si>
    <t xml:space="preserve">Секретар </t>
  </si>
  <si>
    <t xml:space="preserve"> </t>
  </si>
  <si>
    <t xml:space="preserve">           ПОГОДЖУЮ:</t>
  </si>
  <si>
    <t xml:space="preserve">Директор </t>
  </si>
  <si>
    <t>Заступник директора з навчально-виховної роботи</t>
  </si>
  <si>
    <t>Заступник директора з виховної роботи</t>
  </si>
  <si>
    <t>Наталія ПОДОЛІННА</t>
  </si>
  <si>
    <t>Директор ____________________Леся ЗБОРОВСЬКА</t>
  </si>
  <si>
    <t xml:space="preserve">Володимир МІЦУК </t>
  </si>
  <si>
    <t xml:space="preserve">Спеціаліст І категорії                      </t>
  </si>
  <si>
    <t>Керівник гуртків</t>
  </si>
  <si>
    <t>Наталія ДЗЮБАН</t>
  </si>
  <si>
    <t>Начальник відділу планування,</t>
  </si>
  <si>
    <t>бухгалтерського обліку та</t>
  </si>
  <si>
    <t>звітності, головний бухгалтер</t>
  </si>
  <si>
    <t xml:space="preserve">ДОДАТОК </t>
  </si>
  <si>
    <t xml:space="preserve">шкідливість;  </t>
  </si>
  <si>
    <t>Бібліотекар</t>
  </si>
  <si>
    <t>з місячним фондом заробітної плати -    529793,61 грн.</t>
  </si>
  <si>
    <t>штат  у кількості    49,86    штатних одиниць</t>
  </si>
  <si>
    <t>ШТАТНИЙ  РОЗПИС  на 01 листопада  2024 року</t>
  </si>
  <si>
    <t>Рішення сесії №78-3/VIII від 28.10.2024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</si>
</sst>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&quot;р.&quot;;\-#,##0&quot;р.&quot;"/>
    <numFmt numFmtId="6" formatCode="#,##0&quot;р.&quot;;[Red]\-#,##0&quot;р.&quot;"/>
    <numFmt numFmtId="164" formatCode="#,##0\ &quot;грн.&quot;;[Red]\-#,##0\ &quot;грн.&quot;"/>
    <numFmt numFmtId="165" formatCode="0.0"/>
  </numFmts>
  <fonts count="23" x14ac:knownFonts="1"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i/>
      <sz val="9"/>
      <name val="Times New Roman"/>
      <family val="1"/>
      <charset val="204"/>
    </font>
    <font>
      <b/>
      <i/>
      <sz val="8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7"/>
      <name val="Times New Roman"/>
      <family val="1"/>
    </font>
    <font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Fill="1"/>
    <xf numFmtId="2" fontId="1" fillId="2" borderId="5" xfId="0" applyNumberFormat="1" applyFont="1" applyFill="1" applyBorder="1" applyAlignment="1">
      <alignment horizontal="center"/>
    </xf>
    <xf numFmtId="0" fontId="0" fillId="2" borderId="0" xfId="0" applyFill="1"/>
    <xf numFmtId="9" fontId="1" fillId="2" borderId="5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1" fontId="13" fillId="2" borderId="0" xfId="0" applyNumberFormat="1" applyFont="1" applyFill="1" applyBorder="1" applyAlignment="1">
      <alignment horizontal="center"/>
    </xf>
    <xf numFmtId="49" fontId="13" fillId="2" borderId="0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9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9" fontId="1" fillId="2" borderId="4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2" fontId="13" fillId="2" borderId="11" xfId="0" applyNumberFormat="1" applyFont="1" applyFill="1" applyBorder="1" applyAlignment="1">
      <alignment horizontal="center"/>
    </xf>
    <xf numFmtId="49" fontId="13" fillId="2" borderId="11" xfId="0" applyNumberFormat="1" applyFont="1" applyFill="1" applyBorder="1" applyAlignment="1">
      <alignment horizontal="center"/>
    </xf>
    <xf numFmtId="1" fontId="13" fillId="2" borderId="1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0" fillId="2" borderId="12" xfId="0" applyFont="1" applyFill="1" applyBorder="1"/>
    <xf numFmtId="0" fontId="0" fillId="2" borderId="0" xfId="0" applyFont="1" applyFill="1"/>
    <xf numFmtId="9" fontId="13" fillId="2" borderId="11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0" fillId="2" borderId="5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6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2" borderId="0" xfId="0" applyFont="1" applyFill="1" applyBorder="1"/>
    <xf numFmtId="0" fontId="1" fillId="2" borderId="3" xfId="0" applyFont="1" applyFill="1" applyBorder="1" applyAlignment="1">
      <alignment wrapText="1"/>
    </xf>
    <xf numFmtId="9" fontId="1" fillId="2" borderId="3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2" fillId="2" borderId="18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6" fontId="1" fillId="2" borderId="2" xfId="0" applyNumberFormat="1" applyFont="1" applyFill="1" applyBorder="1" applyAlignment="1">
      <alignment wrapText="1"/>
    </xf>
    <xf numFmtId="0" fontId="1" fillId="2" borderId="0" xfId="0" applyFont="1" applyFill="1" applyBorder="1" applyAlignment="1">
      <alignment horizontal="center"/>
    </xf>
    <xf numFmtId="9" fontId="13" fillId="2" borderId="0" xfId="0" applyNumberFormat="1" applyFont="1" applyFill="1" applyBorder="1" applyAlignment="1">
      <alignment horizontal="center"/>
    </xf>
    <xf numFmtId="2" fontId="13" fillId="2" borderId="13" xfId="0" applyNumberFormat="1" applyFont="1" applyFill="1" applyBorder="1" applyAlignment="1">
      <alignment horizontal="center"/>
    </xf>
    <xf numFmtId="2" fontId="1" fillId="2" borderId="31" xfId="0" applyNumberFormat="1" applyFont="1" applyFill="1" applyBorder="1" applyAlignment="1">
      <alignment horizontal="center"/>
    </xf>
    <xf numFmtId="2" fontId="1" fillId="2" borderId="33" xfId="0" applyNumberFormat="1" applyFont="1" applyFill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2" fontId="13" fillId="2" borderId="32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3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16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2" fontId="14" fillId="2" borderId="0" xfId="0" applyNumberFormat="1" applyFont="1" applyFill="1" applyAlignment="1">
      <alignment horizontal="center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4" fillId="2" borderId="1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" fillId="2" borderId="13" xfId="0" applyFont="1" applyFill="1" applyBorder="1" applyAlignment="1">
      <alignment horizontal="center"/>
    </xf>
    <xf numFmtId="2" fontId="0" fillId="2" borderId="0" xfId="0" applyNumberFormat="1" applyFont="1" applyFill="1"/>
    <xf numFmtId="6" fontId="1" fillId="2" borderId="3" xfId="0" applyNumberFormat="1" applyFont="1" applyFill="1" applyBorder="1" applyAlignment="1">
      <alignment wrapText="1"/>
    </xf>
    <xf numFmtId="0" fontId="2" fillId="2" borderId="11" xfId="0" applyFont="1" applyFill="1" applyBorder="1" applyAlignment="1">
      <alignment horizontal="center"/>
    </xf>
    <xf numFmtId="6" fontId="2" fillId="2" borderId="11" xfId="0" applyNumberFormat="1" applyFont="1" applyFill="1" applyBorder="1" applyAlignment="1">
      <alignment horizontal="right" wrapText="1"/>
    </xf>
    <xf numFmtId="2" fontId="2" fillId="2" borderId="11" xfId="0" applyNumberFormat="1" applyFont="1" applyFill="1" applyBorder="1" applyAlignment="1">
      <alignment horizontal="center"/>
    </xf>
    <xf numFmtId="9" fontId="2" fillId="2" borderId="11" xfId="0" applyNumberFormat="1" applyFont="1" applyFill="1" applyBorder="1" applyAlignment="1">
      <alignment horizontal="center"/>
    </xf>
    <xf numFmtId="2" fontId="14" fillId="2" borderId="32" xfId="0" applyNumberFormat="1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9" fontId="2" fillId="2" borderId="34" xfId="0" applyNumberFormat="1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164" fontId="2" fillId="2" borderId="34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right" wrapText="1"/>
    </xf>
    <xf numFmtId="0" fontId="12" fillId="2" borderId="37" xfId="0" applyFont="1" applyFill="1" applyBorder="1" applyAlignment="1">
      <alignment horizontal="center"/>
    </xf>
    <xf numFmtId="0" fontId="0" fillId="2" borderId="0" xfId="0" applyFont="1" applyFill="1" applyAlignment="1"/>
    <xf numFmtId="0" fontId="0" fillId="2" borderId="14" xfId="0" applyFont="1" applyFill="1" applyBorder="1"/>
    <xf numFmtId="0" fontId="0" fillId="2" borderId="20" xfId="0" applyFont="1" applyFill="1" applyBorder="1"/>
    <xf numFmtId="0" fontId="0" fillId="2" borderId="9" xfId="0" applyFont="1" applyFill="1" applyBorder="1"/>
    <xf numFmtId="0" fontId="0" fillId="2" borderId="1" xfId="0" applyFont="1" applyFill="1" applyBorder="1"/>
    <xf numFmtId="49" fontId="0" fillId="2" borderId="0" xfId="0" applyNumberFormat="1" applyFont="1" applyFill="1"/>
    <xf numFmtId="0" fontId="0" fillId="0" borderId="0" xfId="0" applyFont="1" applyFill="1"/>
    <xf numFmtId="2" fontId="1" fillId="2" borderId="13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32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22" fillId="2" borderId="5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2" fillId="2" borderId="4" xfId="0" applyFont="1" applyFill="1" applyBorder="1" applyAlignment="1">
      <alignment wrapText="1"/>
    </xf>
    <xf numFmtId="0" fontId="21" fillId="2" borderId="4" xfId="0" applyFont="1" applyFill="1" applyBorder="1" applyAlignment="1">
      <alignment horizontal="center"/>
    </xf>
    <xf numFmtId="5" fontId="1" fillId="2" borderId="5" xfId="0" applyNumberFormat="1" applyFont="1" applyFill="1" applyBorder="1" applyAlignment="1">
      <alignment horizontal="left" vertical="center" wrapText="1"/>
    </xf>
    <xf numFmtId="9" fontId="1" fillId="2" borderId="6" xfId="0" applyNumberFormat="1" applyFont="1" applyFill="1" applyBorder="1" applyAlignment="1">
      <alignment horizontal="center"/>
    </xf>
    <xf numFmtId="0" fontId="22" fillId="2" borderId="2" xfId="0" applyFont="1" applyFill="1" applyBorder="1" applyAlignment="1">
      <alignment wrapText="1"/>
    </xf>
    <xf numFmtId="0" fontId="21" fillId="2" borderId="3" xfId="0" applyFont="1" applyFill="1" applyBorder="1" applyAlignment="1">
      <alignment horizontal="center"/>
    </xf>
    <xf numFmtId="2" fontId="19" fillId="2" borderId="5" xfId="0" applyNumberFormat="1" applyFont="1" applyFill="1" applyBorder="1" applyAlignment="1">
      <alignment horizontal="center"/>
    </xf>
    <xf numFmtId="2" fontId="17" fillId="2" borderId="5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6" fontId="8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/>
    </xf>
    <xf numFmtId="9" fontId="2" fillId="2" borderId="4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wrapText="1"/>
    </xf>
    <xf numFmtId="0" fontId="14" fillId="2" borderId="11" xfId="0" applyFont="1" applyFill="1" applyBorder="1" applyAlignment="1">
      <alignment horizontal="center"/>
    </xf>
    <xf numFmtId="9" fontId="1" fillId="2" borderId="11" xfId="0" applyNumberFormat="1" applyFont="1" applyFill="1" applyBorder="1" applyAlignment="1">
      <alignment horizontal="center"/>
    </xf>
    <xf numFmtId="9" fontId="1" fillId="2" borderId="13" xfId="0" applyNumberFormat="1" applyFont="1" applyFill="1" applyBorder="1" applyAlignment="1">
      <alignment horizont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4" borderId="0" xfId="0" applyFill="1"/>
    <xf numFmtId="2" fontId="0" fillId="4" borderId="0" xfId="0" applyNumberFormat="1" applyFill="1"/>
    <xf numFmtId="0" fontId="20" fillId="2" borderId="0" xfId="0" applyFont="1" applyFill="1" applyAlignment="1">
      <alignment horizontal="center"/>
    </xf>
    <xf numFmtId="2" fontId="0" fillId="0" borderId="0" xfId="0" applyNumberFormat="1" applyFont="1" applyFill="1"/>
    <xf numFmtId="0" fontId="0" fillId="2" borderId="0" xfId="0" applyFont="1" applyFill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7" fillId="2" borderId="0" xfId="0" applyFont="1" applyFill="1" applyAlignment="1">
      <alignment horizontal="left"/>
    </xf>
    <xf numFmtId="0" fontId="0" fillId="2" borderId="0" xfId="0" applyFont="1" applyFill="1" applyAlignment="1">
      <alignment horizontal="right"/>
    </xf>
    <xf numFmtId="0" fontId="0" fillId="2" borderId="20" xfId="0" applyFont="1" applyFill="1" applyBorder="1" applyAlignment="1">
      <alignment horizontal="right"/>
    </xf>
    <xf numFmtId="0" fontId="17" fillId="2" borderId="20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20" fillId="2" borderId="0" xfId="0" applyFont="1" applyFill="1" applyAlignment="1"/>
    <xf numFmtId="0" fontId="14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BA70"/>
  <sheetViews>
    <sheetView tabSelected="1" view="pageBreakPreview" zoomScale="75" zoomScaleNormal="90" zoomScaleSheetLayoutView="75" workbookViewId="0">
      <selection activeCell="H47" sqref="H47"/>
    </sheetView>
  </sheetViews>
  <sheetFormatPr defaultRowHeight="12.75" x14ac:dyDescent="0.2"/>
  <cols>
    <col min="1" max="1" width="4.42578125" style="24" customWidth="1"/>
    <col min="2" max="2" width="7.28515625" style="24" customWidth="1"/>
    <col min="3" max="3" width="28.7109375" style="24" customWidth="1"/>
    <col min="4" max="4" width="6.5703125" style="24" customWidth="1"/>
    <col min="5" max="5" width="8" style="24" customWidth="1"/>
    <col min="6" max="6" width="11.7109375" style="24" customWidth="1"/>
    <col min="7" max="7" width="8.5703125" style="24" customWidth="1"/>
    <col min="8" max="8" width="11.140625" style="24" customWidth="1"/>
    <col min="9" max="9" width="0.28515625" style="24" hidden="1" customWidth="1"/>
    <col min="10" max="10" width="5.7109375" style="24" customWidth="1"/>
    <col min="11" max="11" width="10.7109375" style="24" customWidth="1"/>
    <col min="12" max="12" width="13.140625" style="24" customWidth="1"/>
    <col min="13" max="13" width="13.42578125" style="24" customWidth="1"/>
    <col min="14" max="14" width="14.42578125" style="24" customWidth="1"/>
    <col min="15" max="15" width="6.42578125" style="24" customWidth="1"/>
    <col min="16" max="16" width="8.28515625" style="24" customWidth="1"/>
    <col min="17" max="17" width="10.5703125" style="24" customWidth="1"/>
    <col min="18" max="18" width="8.7109375" style="24" customWidth="1"/>
    <col min="19" max="19" width="16" style="24" customWidth="1"/>
    <col min="20" max="20" width="10.5703125" style="24" customWidth="1"/>
    <col min="21" max="23" width="12" style="24" customWidth="1"/>
    <col min="24" max="24" width="11" style="3" bestFit="1" customWidth="1"/>
    <col min="25" max="53" width="9.140625" style="3"/>
  </cols>
  <sheetData>
    <row r="2" spans="1:53" x14ac:dyDescent="0.2">
      <c r="V2" s="166" t="s">
        <v>85</v>
      </c>
      <c r="W2" s="166"/>
    </row>
    <row r="3" spans="1:53" ht="12" customHeight="1" x14ac:dyDescent="0.2"/>
    <row r="4" spans="1:53" ht="12.75" customHeight="1" x14ac:dyDescent="0.2">
      <c r="C4" s="30"/>
      <c r="D4" s="30"/>
      <c r="E4" s="30"/>
      <c r="F4" s="30"/>
      <c r="G4" s="30"/>
      <c r="H4" s="30"/>
      <c r="I4" s="30"/>
      <c r="J4" s="33"/>
      <c r="K4" s="30"/>
      <c r="L4" s="30"/>
      <c r="M4" s="30"/>
      <c r="N4" s="30"/>
      <c r="O4" s="30"/>
      <c r="P4" s="167" t="s">
        <v>0</v>
      </c>
      <c r="Q4" s="167"/>
      <c r="R4" s="167"/>
      <c r="S4" s="55"/>
      <c r="T4" s="55"/>
      <c r="U4" s="56"/>
      <c r="V4" s="56"/>
      <c r="W4" s="56"/>
    </row>
    <row r="5" spans="1:53" ht="20.25" customHeight="1" x14ac:dyDescent="0.2">
      <c r="C5" s="168" t="s">
        <v>90</v>
      </c>
      <c r="D5" s="168"/>
      <c r="E5" s="168"/>
      <c r="F5" s="168"/>
      <c r="G5" s="30"/>
      <c r="H5" s="132"/>
      <c r="I5" s="30"/>
      <c r="J5" s="57"/>
      <c r="K5" s="31"/>
      <c r="L5" s="31"/>
      <c r="M5" s="31"/>
      <c r="N5" s="31"/>
      <c r="O5" s="31"/>
      <c r="P5" s="169" t="s">
        <v>89</v>
      </c>
      <c r="Q5" s="169"/>
      <c r="R5" s="169"/>
      <c r="S5" s="169"/>
      <c r="T5" s="169"/>
      <c r="U5" s="56"/>
      <c r="V5" s="56"/>
      <c r="W5" s="56"/>
    </row>
    <row r="6" spans="1:53" ht="16.5" customHeight="1" x14ac:dyDescent="0.25">
      <c r="C6" s="170" t="s">
        <v>66</v>
      </c>
      <c r="D6" s="170"/>
      <c r="E6" s="170"/>
      <c r="F6" s="170"/>
      <c r="G6" s="30"/>
      <c r="H6" s="30"/>
      <c r="I6" s="31"/>
      <c r="J6" s="59"/>
      <c r="K6" s="31"/>
      <c r="L6" s="31"/>
      <c r="M6" s="31"/>
      <c r="N6" s="31"/>
      <c r="O6" s="31"/>
      <c r="P6" s="169" t="s">
        <v>88</v>
      </c>
      <c r="Q6" s="169"/>
      <c r="R6" s="169"/>
      <c r="S6" s="169"/>
      <c r="T6" s="169"/>
      <c r="U6" s="56"/>
      <c r="V6" s="56"/>
      <c r="W6" s="56"/>
    </row>
    <row r="7" spans="1:53" ht="18.75" customHeight="1" x14ac:dyDescent="0.25">
      <c r="C7" s="164" t="s">
        <v>67</v>
      </c>
      <c r="D7" s="164"/>
      <c r="E7" s="164"/>
      <c r="F7" s="164"/>
      <c r="G7" s="132"/>
      <c r="H7" s="30"/>
      <c r="I7" s="30"/>
      <c r="J7" s="61"/>
      <c r="K7" s="30"/>
      <c r="L7" s="30"/>
      <c r="M7" s="30"/>
      <c r="N7" s="30"/>
      <c r="O7" s="30"/>
      <c r="P7" s="150" t="s">
        <v>77</v>
      </c>
      <c r="Q7" s="150"/>
      <c r="R7" s="150"/>
      <c r="S7" s="150"/>
      <c r="T7" s="150"/>
      <c r="U7" s="56"/>
      <c r="V7" s="56"/>
      <c r="W7" s="56"/>
    </row>
    <row r="8" spans="1:53" ht="15" customHeight="1" x14ac:dyDescent="0.25">
      <c r="C8" s="164" t="s">
        <v>68</v>
      </c>
      <c r="D8" s="164"/>
      <c r="E8" s="164"/>
      <c r="F8" s="164"/>
      <c r="G8" s="132"/>
      <c r="H8" s="30"/>
      <c r="I8" s="62"/>
      <c r="J8" s="30"/>
      <c r="K8" s="32"/>
      <c r="L8" s="32"/>
      <c r="M8" s="32"/>
      <c r="N8" s="32"/>
      <c r="O8" s="32"/>
      <c r="P8" s="150"/>
      <c r="Q8" s="150"/>
      <c r="R8" s="150"/>
      <c r="S8" s="150"/>
      <c r="T8" s="150"/>
      <c r="U8" s="56"/>
      <c r="V8" s="56"/>
      <c r="W8" s="56"/>
    </row>
    <row r="9" spans="1:53" s="1" customFormat="1" ht="13.5" x14ac:dyDescent="0.25">
      <c r="A9" s="24"/>
      <c r="B9" s="24"/>
      <c r="C9" s="164" t="s">
        <v>30</v>
      </c>
      <c r="D9" s="164"/>
      <c r="E9" s="164"/>
      <c r="F9" s="164"/>
      <c r="G9" s="132"/>
      <c r="H9" s="30"/>
      <c r="I9" s="62"/>
      <c r="J9" s="33"/>
      <c r="K9" s="33"/>
      <c r="L9" s="33"/>
      <c r="M9" s="33"/>
      <c r="N9" s="33"/>
      <c r="O9" s="33"/>
      <c r="P9" s="165" t="s">
        <v>72</v>
      </c>
      <c r="Q9" s="165"/>
      <c r="R9" s="165"/>
      <c r="S9" s="165"/>
      <c r="T9" s="165"/>
      <c r="U9" s="24"/>
      <c r="V9" s="24"/>
      <c r="W9" s="24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</row>
    <row r="10" spans="1:53" s="1" customFormat="1" x14ac:dyDescent="0.2">
      <c r="A10" s="24"/>
      <c r="B10" s="24"/>
      <c r="C10" s="63"/>
      <c r="D10" s="64"/>
      <c r="E10" s="96"/>
      <c r="F10" s="24"/>
      <c r="G10" s="132"/>
      <c r="H10" s="30"/>
      <c r="I10" s="65"/>
      <c r="J10" s="33"/>
      <c r="K10" s="33"/>
      <c r="L10" s="33"/>
      <c r="M10" s="33"/>
      <c r="N10" s="33"/>
      <c r="O10" s="33"/>
      <c r="P10" s="60"/>
      <c r="Q10" s="58"/>
      <c r="R10" s="58"/>
      <c r="S10" s="66"/>
      <c r="T10" s="66"/>
      <c r="U10" s="67"/>
      <c r="V10" s="68"/>
      <c r="W10" s="67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</row>
    <row r="11" spans="1:53" ht="13.5" x14ac:dyDescent="0.2">
      <c r="C11" s="69" t="s">
        <v>41</v>
      </c>
      <c r="D11" s="70">
        <v>10</v>
      </c>
      <c r="G11" s="132"/>
      <c r="H11" s="30"/>
      <c r="I11" s="65"/>
      <c r="J11" s="33"/>
      <c r="K11" s="33"/>
      <c r="L11" s="33"/>
      <c r="M11" s="33"/>
      <c r="N11" s="33"/>
      <c r="O11" s="33"/>
      <c r="P11" s="69" t="s">
        <v>1</v>
      </c>
      <c r="Q11" s="64"/>
      <c r="R11" s="64"/>
      <c r="S11" s="56"/>
      <c r="T11" s="64"/>
      <c r="U11" s="56"/>
      <c r="V11" s="56"/>
      <c r="W11" s="56"/>
    </row>
    <row r="12" spans="1:53" ht="13.5" x14ac:dyDescent="0.25">
      <c r="C12" s="71" t="s">
        <v>42</v>
      </c>
      <c r="D12" s="130">
        <v>77</v>
      </c>
      <c r="E12" s="72"/>
      <c r="F12" s="72"/>
      <c r="G12" s="33"/>
      <c r="H12" s="33"/>
      <c r="I12" s="73"/>
      <c r="J12" s="33"/>
      <c r="K12" s="30"/>
      <c r="L12" s="30"/>
      <c r="M12" s="30"/>
      <c r="N12" s="30"/>
      <c r="O12" s="30"/>
      <c r="P12" s="74" t="s">
        <v>71</v>
      </c>
      <c r="Q12" s="74"/>
      <c r="R12" s="74"/>
      <c r="S12" s="64" t="s">
        <v>78</v>
      </c>
      <c r="T12" s="64"/>
      <c r="U12" s="56"/>
      <c r="V12" s="56"/>
      <c r="W12" s="56"/>
    </row>
    <row r="13" spans="1:53" ht="13.5" x14ac:dyDescent="0.25">
      <c r="C13" s="69" t="s">
        <v>43</v>
      </c>
      <c r="D13" s="130">
        <v>1</v>
      </c>
      <c r="E13" s="72"/>
      <c r="F13" s="72"/>
      <c r="G13" s="33"/>
      <c r="H13" s="33"/>
      <c r="I13" s="73"/>
      <c r="J13" s="33"/>
      <c r="K13" s="30"/>
      <c r="L13" s="30"/>
      <c r="M13" s="30"/>
      <c r="N13" s="30"/>
      <c r="O13" s="30"/>
      <c r="P13" s="76"/>
      <c r="Q13" s="76"/>
      <c r="R13" s="76"/>
      <c r="S13" s="64"/>
      <c r="T13" s="64"/>
      <c r="U13" s="56"/>
      <c r="V13" s="56"/>
      <c r="W13" s="56"/>
    </row>
    <row r="14" spans="1:53" ht="13.5" x14ac:dyDescent="0.25">
      <c r="C14" s="71" t="s">
        <v>44</v>
      </c>
      <c r="D14" s="130">
        <v>15</v>
      </c>
      <c r="E14" s="77"/>
      <c r="F14" s="78"/>
      <c r="G14" s="75"/>
      <c r="H14" s="30"/>
      <c r="I14" s="30"/>
      <c r="J14" s="33"/>
      <c r="K14" s="30"/>
      <c r="L14" s="30"/>
      <c r="M14" s="30"/>
      <c r="N14" s="30"/>
      <c r="O14" s="30"/>
      <c r="P14" s="55"/>
      <c r="Q14" s="55"/>
      <c r="R14" s="55"/>
      <c r="S14" s="55"/>
      <c r="T14" s="30"/>
    </row>
    <row r="15" spans="1:53" ht="13.5" x14ac:dyDescent="0.25">
      <c r="C15" s="71"/>
      <c r="D15" s="75"/>
      <c r="E15" s="77"/>
      <c r="F15" s="78"/>
      <c r="G15" s="75"/>
      <c r="H15" s="30"/>
      <c r="I15" s="30"/>
      <c r="J15" s="33"/>
      <c r="K15" s="30"/>
      <c r="L15" s="30"/>
      <c r="M15" s="30"/>
      <c r="N15" s="30"/>
      <c r="O15" s="30"/>
      <c r="P15" s="150"/>
      <c r="Q15" s="150"/>
      <c r="R15" s="150"/>
      <c r="S15" s="150"/>
      <c r="T15" s="150"/>
    </row>
    <row r="16" spans="1:53" ht="13.5" x14ac:dyDescent="0.25">
      <c r="C16" s="71"/>
      <c r="D16" s="75"/>
      <c r="E16" s="77"/>
      <c r="F16" s="78"/>
      <c r="G16" s="75"/>
      <c r="H16" s="30"/>
      <c r="I16" s="30"/>
      <c r="J16" s="33"/>
      <c r="K16" s="30"/>
      <c r="L16" s="30"/>
      <c r="M16" s="30"/>
      <c r="N16" s="30"/>
      <c r="O16" s="30"/>
      <c r="P16" s="150"/>
      <c r="Q16" s="150"/>
      <c r="R16" s="150"/>
      <c r="S16" s="150"/>
      <c r="T16" s="150"/>
      <c r="V16" s="151"/>
      <c r="W16" s="151"/>
    </row>
    <row r="17" spans="1:23" ht="14.25" thickBot="1" x14ac:dyDescent="0.3">
      <c r="C17" s="71"/>
      <c r="D17" s="75"/>
      <c r="E17" s="77"/>
      <c r="F17" s="78"/>
      <c r="G17" s="75"/>
      <c r="H17" s="30"/>
      <c r="I17" s="30"/>
      <c r="J17" s="33"/>
      <c r="K17" s="30"/>
      <c r="L17" s="30"/>
      <c r="M17" s="30"/>
      <c r="N17" s="30"/>
      <c r="O17" s="30"/>
      <c r="P17" s="153" t="s">
        <v>91</v>
      </c>
      <c r="Q17" s="153"/>
      <c r="R17" s="153"/>
      <c r="S17" s="153"/>
      <c r="T17" s="153"/>
      <c r="V17" s="152"/>
      <c r="W17" s="152"/>
    </row>
    <row r="18" spans="1:23" ht="12.75" customHeight="1" x14ac:dyDescent="0.2">
      <c r="A18" s="36"/>
      <c r="B18" s="37"/>
      <c r="C18" s="154" t="s">
        <v>2</v>
      </c>
      <c r="D18" s="140" t="s">
        <v>69</v>
      </c>
      <c r="E18" s="140" t="s">
        <v>3</v>
      </c>
      <c r="F18" s="140" t="s">
        <v>4</v>
      </c>
      <c r="G18" s="140" t="s">
        <v>29</v>
      </c>
      <c r="H18" s="140" t="s">
        <v>48</v>
      </c>
      <c r="I18" s="97"/>
      <c r="J18" s="157" t="s">
        <v>5</v>
      </c>
      <c r="K18" s="158"/>
      <c r="L18" s="159"/>
      <c r="M18" s="133"/>
      <c r="N18" s="133"/>
      <c r="O18" s="139" t="s">
        <v>6</v>
      </c>
      <c r="P18" s="139"/>
      <c r="Q18" s="139"/>
      <c r="R18" s="139"/>
      <c r="S18" s="139"/>
      <c r="T18" s="140" t="s">
        <v>50</v>
      </c>
      <c r="U18" s="140" t="s">
        <v>7</v>
      </c>
      <c r="V18" s="140" t="s">
        <v>32</v>
      </c>
      <c r="W18" s="160" t="s">
        <v>33</v>
      </c>
    </row>
    <row r="19" spans="1:23" s="3" customFormat="1" ht="12.75" customHeight="1" x14ac:dyDescent="0.2">
      <c r="A19" s="26" t="s">
        <v>8</v>
      </c>
      <c r="B19" s="11" t="s">
        <v>16</v>
      </c>
      <c r="C19" s="155"/>
      <c r="D19" s="141"/>
      <c r="E19" s="141"/>
      <c r="F19" s="141"/>
      <c r="G19" s="141"/>
      <c r="H19" s="141"/>
      <c r="I19" s="38"/>
      <c r="J19" s="143" t="s">
        <v>9</v>
      </c>
      <c r="K19" s="143" t="s">
        <v>86</v>
      </c>
      <c r="L19" s="143" t="s">
        <v>54</v>
      </c>
      <c r="M19" s="143" t="s">
        <v>31</v>
      </c>
      <c r="N19" s="143" t="s">
        <v>31</v>
      </c>
      <c r="O19" s="143" t="s">
        <v>25</v>
      </c>
      <c r="P19" s="144" t="s">
        <v>10</v>
      </c>
      <c r="Q19" s="145"/>
      <c r="R19" s="146" t="s">
        <v>11</v>
      </c>
      <c r="S19" s="146"/>
      <c r="T19" s="141"/>
      <c r="U19" s="141"/>
      <c r="V19" s="141"/>
      <c r="W19" s="161"/>
    </row>
    <row r="20" spans="1:23" s="3" customFormat="1" ht="81" customHeight="1" thickBot="1" x14ac:dyDescent="0.25">
      <c r="A20" s="87" t="s">
        <v>24</v>
      </c>
      <c r="B20" s="88" t="s">
        <v>17</v>
      </c>
      <c r="C20" s="156"/>
      <c r="D20" s="142"/>
      <c r="E20" s="142"/>
      <c r="F20" s="142"/>
      <c r="G20" s="142"/>
      <c r="H20" s="142"/>
      <c r="I20" s="98"/>
      <c r="J20" s="142"/>
      <c r="K20" s="142"/>
      <c r="L20" s="142"/>
      <c r="M20" s="163"/>
      <c r="N20" s="163"/>
      <c r="O20" s="142"/>
      <c r="P20" s="89">
        <v>0.35</v>
      </c>
      <c r="Q20" s="90" t="s">
        <v>12</v>
      </c>
      <c r="R20" s="91" t="s">
        <v>13</v>
      </c>
      <c r="S20" s="91" t="s">
        <v>12</v>
      </c>
      <c r="T20" s="142"/>
      <c r="U20" s="142"/>
      <c r="V20" s="142"/>
      <c r="W20" s="162"/>
    </row>
    <row r="21" spans="1:23" s="1" customFormat="1" ht="24" customHeight="1" thickBot="1" x14ac:dyDescent="0.25">
      <c r="A21" s="16">
        <v>1</v>
      </c>
      <c r="B21" s="17" t="s">
        <v>60</v>
      </c>
      <c r="C21" s="122" t="s">
        <v>73</v>
      </c>
      <c r="D21" s="123">
        <v>1</v>
      </c>
      <c r="E21" s="17">
        <v>16</v>
      </c>
      <c r="F21" s="104">
        <v>8914</v>
      </c>
      <c r="G21" s="104"/>
      <c r="H21" s="104">
        <f>((D21*F21)+((D21*F21)*10%))</f>
        <v>9805.4</v>
      </c>
      <c r="I21" s="23"/>
      <c r="J21" s="124">
        <v>0.3</v>
      </c>
      <c r="K21" s="17"/>
      <c r="L21" s="104">
        <f>H21*J21</f>
        <v>2941.62</v>
      </c>
      <c r="M21" s="124"/>
      <c r="N21" s="104">
        <f>H21*M21</f>
        <v>0</v>
      </c>
      <c r="O21" s="17"/>
      <c r="P21" s="17"/>
      <c r="Q21" s="17"/>
      <c r="R21" s="125">
        <v>0.3</v>
      </c>
      <c r="S21" s="103">
        <f>H21*R21</f>
        <v>2941.62</v>
      </c>
      <c r="T21" s="79"/>
      <c r="U21" s="104">
        <f>T21+S21+N21+L21+H21</f>
        <v>15688.64</v>
      </c>
      <c r="V21" s="104"/>
      <c r="W21" s="105">
        <f>V21+U21</f>
        <v>15688.64</v>
      </c>
    </row>
    <row r="22" spans="1:23" s="1" customFormat="1" ht="30" customHeight="1" x14ac:dyDescent="0.2">
      <c r="A22" s="108"/>
      <c r="B22" s="12"/>
      <c r="C22" s="126" t="s">
        <v>39</v>
      </c>
      <c r="D22" s="12"/>
      <c r="E22" s="12"/>
      <c r="F22" s="14"/>
      <c r="G22" s="14"/>
      <c r="H22" s="14"/>
      <c r="I22" s="38"/>
      <c r="J22" s="15"/>
      <c r="K22" s="12"/>
      <c r="L22" s="14"/>
      <c r="M22" s="15"/>
      <c r="N22" s="14"/>
      <c r="O22" s="12"/>
      <c r="P22" s="12"/>
      <c r="Q22" s="43"/>
      <c r="R22" s="112"/>
      <c r="S22" s="43"/>
      <c r="T22" s="106"/>
      <c r="U22" s="14"/>
      <c r="V22" s="14"/>
      <c r="W22" s="53"/>
    </row>
    <row r="23" spans="1:23" s="3" customFormat="1" ht="24.75" customHeight="1" x14ac:dyDescent="0.2">
      <c r="A23" s="42">
        <v>2</v>
      </c>
      <c r="B23" s="134">
        <v>3340</v>
      </c>
      <c r="C23" s="111" t="s">
        <v>59</v>
      </c>
      <c r="D23" s="134">
        <v>0.9</v>
      </c>
      <c r="E23" s="134">
        <v>11</v>
      </c>
      <c r="F23" s="2">
        <v>6294</v>
      </c>
      <c r="G23" s="134"/>
      <c r="H23" s="2">
        <f>(D23*F23)+(F23*D23)*10%</f>
        <v>6231.06</v>
      </c>
      <c r="I23" s="38"/>
      <c r="J23" s="4">
        <v>0.2</v>
      </c>
      <c r="K23" s="134"/>
      <c r="L23" s="2">
        <f>H23*J23</f>
        <v>1246.2120000000002</v>
      </c>
      <c r="M23" s="4">
        <v>0.15</v>
      </c>
      <c r="N23" s="2">
        <f>H23*15%</f>
        <v>934.65899999999999</v>
      </c>
      <c r="O23" s="134"/>
      <c r="P23" s="134"/>
      <c r="Q23" s="43"/>
      <c r="R23" s="112">
        <v>0.3</v>
      </c>
      <c r="S23" s="43">
        <f>H23*R23</f>
        <v>1869.318</v>
      </c>
      <c r="T23" s="44"/>
      <c r="U23" s="2">
        <f>S23+N23+L23+H23+K23+O23+Q23</f>
        <v>10281.249</v>
      </c>
      <c r="V23" s="2"/>
      <c r="W23" s="51">
        <f>V23+U23</f>
        <v>10281.249</v>
      </c>
    </row>
    <row r="24" spans="1:23" s="3" customFormat="1" ht="18.75" customHeight="1" x14ac:dyDescent="0.2">
      <c r="A24" s="42">
        <v>3</v>
      </c>
      <c r="B24" s="134">
        <v>3340</v>
      </c>
      <c r="C24" s="111" t="s">
        <v>58</v>
      </c>
      <c r="D24" s="134">
        <v>0.9</v>
      </c>
      <c r="E24" s="134">
        <v>12</v>
      </c>
      <c r="F24" s="2">
        <v>6773</v>
      </c>
      <c r="G24" s="134"/>
      <c r="H24" s="2">
        <f>(D24*F24)+(F24*D24)*10%</f>
        <v>6705.2699999999995</v>
      </c>
      <c r="I24" s="38"/>
      <c r="J24" s="4">
        <v>0.2</v>
      </c>
      <c r="K24" s="134"/>
      <c r="L24" s="2">
        <f>H24*J24</f>
        <v>1341.0540000000001</v>
      </c>
      <c r="M24" s="4">
        <v>0.15</v>
      </c>
      <c r="N24" s="2">
        <f>H24*15%</f>
        <v>1005.7904999999998</v>
      </c>
      <c r="O24" s="134"/>
      <c r="P24" s="134"/>
      <c r="Q24" s="2"/>
      <c r="R24" s="4">
        <v>0.2</v>
      </c>
      <c r="S24" s="43">
        <f>H24*R24</f>
        <v>1341.0540000000001</v>
      </c>
      <c r="T24" s="43"/>
      <c r="U24" s="2">
        <f>S24+N24+L24+H24+K24+O24+Q24-0.01</f>
        <v>10393.1585</v>
      </c>
      <c r="V24" s="2"/>
      <c r="W24" s="51">
        <f t="shared" ref="W24" si="0">V24+U24</f>
        <v>10393.1585</v>
      </c>
    </row>
    <row r="25" spans="1:23" s="24" customFormat="1" ht="17.25" customHeight="1" x14ac:dyDescent="0.2">
      <c r="A25" s="42">
        <v>4</v>
      </c>
      <c r="B25" s="134">
        <v>3231</v>
      </c>
      <c r="C25" s="34" t="s">
        <v>37</v>
      </c>
      <c r="D25" s="134">
        <v>0.5</v>
      </c>
      <c r="E25" s="134">
        <v>8</v>
      </c>
      <c r="F25" s="2">
        <v>5240</v>
      </c>
      <c r="G25" s="134"/>
      <c r="H25" s="2">
        <f>(D25*F25)</f>
        <v>2620</v>
      </c>
      <c r="I25" s="38"/>
      <c r="J25" s="4"/>
      <c r="K25" s="134"/>
      <c r="L25" s="2">
        <f>H25*J25</f>
        <v>0</v>
      </c>
      <c r="M25" s="4"/>
      <c r="N25" s="2">
        <f t="shared" ref="N25:N33" si="1">H25*M25</f>
        <v>0</v>
      </c>
      <c r="O25" s="134"/>
      <c r="P25" s="134"/>
      <c r="Q25" s="2"/>
      <c r="R25" s="4">
        <v>0.2</v>
      </c>
      <c r="S25" s="2">
        <f>H25*R25</f>
        <v>524</v>
      </c>
      <c r="T25" s="44"/>
      <c r="U25" s="2">
        <f>S25+N25+L25+H25+K25+O25+Q25</f>
        <v>3144</v>
      </c>
      <c r="V25" s="2">
        <v>856</v>
      </c>
      <c r="W25" s="51">
        <f>V25+U25</f>
        <v>4000</v>
      </c>
    </row>
    <row r="26" spans="1:23" s="3" customFormat="1" ht="19.5" customHeight="1" x14ac:dyDescent="0.2">
      <c r="A26" s="42">
        <v>5</v>
      </c>
      <c r="B26" s="134">
        <v>5122</v>
      </c>
      <c r="C26" s="34" t="s">
        <v>38</v>
      </c>
      <c r="D26" s="134">
        <v>1</v>
      </c>
      <c r="E26" s="134">
        <v>3</v>
      </c>
      <c r="F26" s="2">
        <v>3770</v>
      </c>
      <c r="G26" s="134"/>
      <c r="H26" s="2">
        <f>(D26*F26)</f>
        <v>3770</v>
      </c>
      <c r="I26" s="38"/>
      <c r="J26" s="4">
        <v>0.08</v>
      </c>
      <c r="K26" s="2">
        <f>H26*J26</f>
        <v>301.60000000000002</v>
      </c>
      <c r="L26" s="2"/>
      <c r="M26" s="4"/>
      <c r="N26" s="2">
        <f t="shared" si="1"/>
        <v>0</v>
      </c>
      <c r="O26" s="134"/>
      <c r="P26" s="134"/>
      <c r="Q26" s="2"/>
      <c r="R26" s="4"/>
      <c r="S26" s="2"/>
      <c r="T26" s="44"/>
      <c r="U26" s="2">
        <f>S26+N26+L26+H26+K26+O26+Q26</f>
        <v>4071.6</v>
      </c>
      <c r="V26" s="2">
        <v>4230</v>
      </c>
      <c r="W26" s="51">
        <f>V26+U26</f>
        <v>8301.6</v>
      </c>
    </row>
    <row r="27" spans="1:23" s="3" customFormat="1" ht="19.5" customHeight="1" x14ac:dyDescent="0.2">
      <c r="A27" s="42">
        <v>6</v>
      </c>
      <c r="B27" s="134">
        <v>9322</v>
      </c>
      <c r="C27" s="34" t="s">
        <v>27</v>
      </c>
      <c r="D27" s="134">
        <v>0.5</v>
      </c>
      <c r="E27" s="134">
        <v>1</v>
      </c>
      <c r="F27" s="2">
        <v>3195</v>
      </c>
      <c r="G27" s="134"/>
      <c r="H27" s="2">
        <f>(D27*F27)</f>
        <v>1597.5</v>
      </c>
      <c r="I27" s="38"/>
      <c r="J27" s="4">
        <v>0.04</v>
      </c>
      <c r="K27" s="2">
        <f>H27*J27</f>
        <v>63.9</v>
      </c>
      <c r="L27" s="2"/>
      <c r="M27" s="4"/>
      <c r="N27" s="2">
        <f t="shared" si="1"/>
        <v>0</v>
      </c>
      <c r="O27" s="134"/>
      <c r="P27" s="134"/>
      <c r="Q27" s="2"/>
      <c r="R27" s="4"/>
      <c r="S27" s="2"/>
      <c r="T27" s="44"/>
      <c r="U27" s="2">
        <f>S27+N27+L27+H27+K27+O27+Q27</f>
        <v>1661.4</v>
      </c>
      <c r="V27" s="2">
        <v>2402.5</v>
      </c>
      <c r="W27" s="51">
        <f>U27+V27</f>
        <v>4063.9</v>
      </c>
    </row>
    <row r="28" spans="1:23" s="3" customFormat="1" ht="27" customHeight="1" x14ac:dyDescent="0.2">
      <c r="A28" s="42">
        <v>7</v>
      </c>
      <c r="B28" s="134">
        <v>8264</v>
      </c>
      <c r="C28" s="35" t="s">
        <v>64</v>
      </c>
      <c r="D28" s="134">
        <v>0.25</v>
      </c>
      <c r="E28" s="134">
        <v>2</v>
      </c>
      <c r="F28" s="2">
        <v>3483</v>
      </c>
      <c r="G28" s="134"/>
      <c r="H28" s="2">
        <f>(D28*F28)</f>
        <v>870.75</v>
      </c>
      <c r="I28" s="38"/>
      <c r="J28" s="4"/>
      <c r="K28" s="2"/>
      <c r="L28" s="2"/>
      <c r="M28" s="4"/>
      <c r="N28" s="2"/>
      <c r="O28" s="134"/>
      <c r="P28" s="134"/>
      <c r="Q28" s="2"/>
      <c r="R28" s="4"/>
      <c r="S28" s="43"/>
      <c r="T28" s="45"/>
      <c r="U28" s="2">
        <f>S28+N28+L28+H28+K28+O28+Q28</f>
        <v>870.75</v>
      </c>
      <c r="V28" s="2">
        <v>1129.25</v>
      </c>
      <c r="W28" s="51">
        <f>V28+U28</f>
        <v>2000</v>
      </c>
    </row>
    <row r="29" spans="1:23" s="3" customFormat="1" ht="24.75" customHeight="1" x14ac:dyDescent="0.2">
      <c r="A29" s="42">
        <v>8</v>
      </c>
      <c r="B29" s="134">
        <v>5131</v>
      </c>
      <c r="C29" s="34" t="s">
        <v>36</v>
      </c>
      <c r="D29" s="134">
        <v>1</v>
      </c>
      <c r="E29" s="134">
        <v>5</v>
      </c>
      <c r="F29" s="2">
        <v>4345</v>
      </c>
      <c r="G29" s="134"/>
      <c r="H29" s="2">
        <f t="shared" ref="H29:H32" si="2">(D29*F29)</f>
        <v>4345</v>
      </c>
      <c r="I29" s="38"/>
      <c r="J29" s="4">
        <v>0.1</v>
      </c>
      <c r="K29" s="2">
        <f>H29*J29</f>
        <v>434.5</v>
      </c>
      <c r="L29" s="2"/>
      <c r="M29" s="4"/>
      <c r="N29" s="2">
        <f t="shared" si="1"/>
        <v>0</v>
      </c>
      <c r="O29" s="134"/>
      <c r="P29" s="134"/>
      <c r="Q29" s="2"/>
      <c r="R29" s="4"/>
      <c r="S29" s="43"/>
      <c r="T29" s="44"/>
      <c r="U29" s="2">
        <f t="shared" ref="U29:U33" si="3">S29+N29+L29+H29+K29+O29+Q29</f>
        <v>4779.5</v>
      </c>
      <c r="V29" s="2">
        <v>3655</v>
      </c>
      <c r="W29" s="51">
        <f>U29+V29</f>
        <v>8434.5</v>
      </c>
    </row>
    <row r="30" spans="1:23" s="3" customFormat="1" ht="21.75" customHeight="1" x14ac:dyDescent="0.2">
      <c r="A30" s="46">
        <v>9</v>
      </c>
      <c r="B30" s="5">
        <v>9152</v>
      </c>
      <c r="C30" s="47" t="s">
        <v>21</v>
      </c>
      <c r="D30" s="5">
        <v>2</v>
      </c>
      <c r="E30" s="5">
        <v>1</v>
      </c>
      <c r="F30" s="6">
        <v>3195</v>
      </c>
      <c r="G30" s="5"/>
      <c r="H30" s="2">
        <f>(D30*F30)</f>
        <v>6390</v>
      </c>
      <c r="I30" s="38"/>
      <c r="J30" s="13"/>
      <c r="K30" s="6"/>
      <c r="L30" s="2"/>
      <c r="M30" s="13"/>
      <c r="N30" s="2">
        <f t="shared" si="1"/>
        <v>0</v>
      </c>
      <c r="O30" s="5"/>
      <c r="P30" s="13">
        <v>0.35</v>
      </c>
      <c r="Q30" s="6">
        <f>H30*P30</f>
        <v>2236.5</v>
      </c>
      <c r="R30" s="13"/>
      <c r="S30" s="2"/>
      <c r="T30" s="134"/>
      <c r="U30" s="2">
        <f>S30+N30+L30+H30+K30+O30+Q30</f>
        <v>8626.5</v>
      </c>
      <c r="V30" s="2">
        <v>9610</v>
      </c>
      <c r="W30" s="51">
        <f>U30+V30</f>
        <v>18236.5</v>
      </c>
    </row>
    <row r="31" spans="1:23" s="3" customFormat="1" ht="21.75" customHeight="1" x14ac:dyDescent="0.2">
      <c r="A31" s="46">
        <v>10</v>
      </c>
      <c r="B31" s="5">
        <v>9162</v>
      </c>
      <c r="C31" s="47" t="s">
        <v>22</v>
      </c>
      <c r="D31" s="5">
        <v>0.5</v>
      </c>
      <c r="E31" s="5">
        <v>1</v>
      </c>
      <c r="F31" s="6">
        <v>3195</v>
      </c>
      <c r="G31" s="5"/>
      <c r="H31" s="6">
        <f>(D31*F31)</f>
        <v>1597.5</v>
      </c>
      <c r="I31" s="38"/>
      <c r="J31" s="13"/>
      <c r="K31" s="6"/>
      <c r="L31" s="6"/>
      <c r="M31" s="13"/>
      <c r="N31" s="6">
        <f t="shared" si="1"/>
        <v>0</v>
      </c>
      <c r="O31" s="5"/>
      <c r="P31" s="5"/>
      <c r="Q31" s="6">
        <f>H31*P31</f>
        <v>0</v>
      </c>
      <c r="R31" s="13"/>
      <c r="S31" s="6"/>
      <c r="T31" s="5"/>
      <c r="U31" s="6">
        <f t="shared" si="3"/>
        <v>1597.5</v>
      </c>
      <c r="V31" s="6">
        <f>(8000*D31)-U31</f>
        <v>2402.5</v>
      </c>
      <c r="W31" s="52">
        <f>V31+U31+Q31</f>
        <v>4000</v>
      </c>
    </row>
    <row r="32" spans="1:23" s="3" customFormat="1" ht="28.5" customHeight="1" x14ac:dyDescent="0.2">
      <c r="A32" s="42">
        <v>11</v>
      </c>
      <c r="B32" s="134">
        <v>8162</v>
      </c>
      <c r="C32" s="34" t="s">
        <v>40</v>
      </c>
      <c r="D32" s="134">
        <v>1</v>
      </c>
      <c r="E32" s="134">
        <v>2</v>
      </c>
      <c r="F32" s="2">
        <v>3483</v>
      </c>
      <c r="G32" s="134"/>
      <c r="H32" s="2">
        <f t="shared" si="2"/>
        <v>3483</v>
      </c>
      <c r="I32" s="99"/>
      <c r="J32" s="4">
        <v>0.04</v>
      </c>
      <c r="K32" s="2">
        <f>H32*J32</f>
        <v>139.32</v>
      </c>
      <c r="L32" s="2"/>
      <c r="M32" s="4"/>
      <c r="N32" s="2">
        <f t="shared" si="1"/>
        <v>0</v>
      </c>
      <c r="O32" s="134"/>
      <c r="P32" s="4">
        <v>0.35</v>
      </c>
      <c r="Q32" s="2">
        <f>H32*P32</f>
        <v>1219.05</v>
      </c>
      <c r="R32" s="4"/>
      <c r="S32" s="2"/>
      <c r="T32" s="134"/>
      <c r="U32" s="2">
        <f>S32+N32+L32+H32+K32+O32+Q32</f>
        <v>4841.37</v>
      </c>
      <c r="V32" s="2">
        <v>4517</v>
      </c>
      <c r="W32" s="51">
        <f>V32+U32</f>
        <v>9358.369999999999</v>
      </c>
    </row>
    <row r="33" spans="1:24" s="3" customFormat="1" ht="30.75" customHeight="1" thickBot="1" x14ac:dyDescent="0.25">
      <c r="A33" s="26">
        <v>12</v>
      </c>
      <c r="B33" s="29">
        <v>8162</v>
      </c>
      <c r="C33" s="81" t="s">
        <v>35</v>
      </c>
      <c r="D33" s="29">
        <v>3</v>
      </c>
      <c r="E33" s="29">
        <v>2</v>
      </c>
      <c r="F33" s="27">
        <v>3483</v>
      </c>
      <c r="G33" s="29"/>
      <c r="H33" s="27">
        <f>(D33*F33)</f>
        <v>10449</v>
      </c>
      <c r="I33" s="38"/>
      <c r="J33" s="40">
        <v>0.04</v>
      </c>
      <c r="K33" s="27">
        <f>H33*J33</f>
        <v>417.96000000000004</v>
      </c>
      <c r="L33" s="27"/>
      <c r="M33" s="40"/>
      <c r="N33" s="27">
        <f t="shared" si="1"/>
        <v>0</v>
      </c>
      <c r="O33" s="29"/>
      <c r="P33" s="40">
        <v>0.35</v>
      </c>
      <c r="Q33" s="27">
        <f>H33*P33</f>
        <v>3657.1499999999996</v>
      </c>
      <c r="R33" s="40"/>
      <c r="S33" s="27"/>
      <c r="T33" s="29"/>
      <c r="U33" s="27">
        <f t="shared" si="3"/>
        <v>14524.109999999999</v>
      </c>
      <c r="V33" s="27">
        <v>13551</v>
      </c>
      <c r="W33" s="51">
        <f>V33+U33</f>
        <v>28075.11</v>
      </c>
    </row>
    <row r="34" spans="1:24" s="3" customFormat="1" ht="13.5" thickBot="1" x14ac:dyDescent="0.25">
      <c r="A34" s="16"/>
      <c r="B34" s="82"/>
      <c r="C34" s="83" t="s">
        <v>20</v>
      </c>
      <c r="D34" s="84">
        <f>SUM(D23:D33)</f>
        <v>11.55</v>
      </c>
      <c r="E34" s="82"/>
      <c r="F34" s="84"/>
      <c r="G34" s="84">
        <f>SUM(G21:G33)</f>
        <v>0</v>
      </c>
      <c r="H34" s="84">
        <f>SUM(H23:H33)</f>
        <v>48059.08</v>
      </c>
      <c r="I34" s="23"/>
      <c r="J34" s="82"/>
      <c r="K34" s="82">
        <f>SUM(K23:K33)</f>
        <v>1357.28</v>
      </c>
      <c r="L34" s="84">
        <f>SUM(L23:L33)</f>
        <v>2587.2660000000005</v>
      </c>
      <c r="M34" s="85"/>
      <c r="N34" s="84">
        <f>SUM(N23:N33)</f>
        <v>1940.4494999999997</v>
      </c>
      <c r="O34" s="82"/>
      <c r="P34" s="82"/>
      <c r="Q34" s="84">
        <f>SUM(Q23:Q33)</f>
        <v>7112.7</v>
      </c>
      <c r="R34" s="85"/>
      <c r="S34" s="84">
        <f>SUM(S23:S33)</f>
        <v>3734.3720000000003</v>
      </c>
      <c r="T34" s="84">
        <f>SUM(T23:T33)</f>
        <v>0</v>
      </c>
      <c r="U34" s="84">
        <f>SUM(U23:U33)</f>
        <v>64791.137500000004</v>
      </c>
      <c r="V34" s="84">
        <f>SUM(V21:V33)</f>
        <v>42353.25</v>
      </c>
      <c r="W34" s="86">
        <f>V34+U34</f>
        <v>107144.38750000001</v>
      </c>
      <c r="X34" s="3">
        <f>W34*13</f>
        <v>1392877.0375000001</v>
      </c>
    </row>
    <row r="35" spans="1:24" s="3" customFormat="1" ht="31.5" customHeight="1" x14ac:dyDescent="0.2">
      <c r="A35" s="108"/>
      <c r="B35" s="117"/>
      <c r="C35" s="118" t="s">
        <v>45</v>
      </c>
      <c r="D35" s="119"/>
      <c r="E35" s="117"/>
      <c r="F35" s="119"/>
      <c r="G35" s="119"/>
      <c r="H35" s="119"/>
      <c r="I35" s="100"/>
      <c r="J35" s="117"/>
      <c r="K35" s="117"/>
      <c r="L35" s="119"/>
      <c r="M35" s="120"/>
      <c r="N35" s="119"/>
      <c r="O35" s="117"/>
      <c r="P35" s="117"/>
      <c r="Q35" s="119"/>
      <c r="R35" s="120"/>
      <c r="S35" s="119"/>
      <c r="T35" s="119"/>
      <c r="U35" s="119"/>
      <c r="V35" s="119"/>
      <c r="W35" s="121"/>
    </row>
    <row r="36" spans="1:24" s="3" customFormat="1" ht="31.5" customHeight="1" x14ac:dyDescent="0.2">
      <c r="A36" s="108">
        <v>13</v>
      </c>
      <c r="B36" s="12" t="s">
        <v>60</v>
      </c>
      <c r="C36" s="109" t="s">
        <v>74</v>
      </c>
      <c r="D36" s="12">
        <v>1</v>
      </c>
      <c r="E36" s="110" t="s">
        <v>46</v>
      </c>
      <c r="F36" s="14">
        <f>F21*0.95</f>
        <v>8468.2999999999993</v>
      </c>
      <c r="G36" s="14"/>
      <c r="H36" s="14">
        <f>((D36*F36)+((D36*F36)*10%))</f>
        <v>9315.1299999999992</v>
      </c>
      <c r="I36" s="38"/>
      <c r="J36" s="15">
        <v>0.2</v>
      </c>
      <c r="K36" s="14"/>
      <c r="L36" s="14">
        <f>H36*J36</f>
        <v>1863.0259999999998</v>
      </c>
      <c r="M36" s="15"/>
      <c r="N36" s="14"/>
      <c r="O36" s="14"/>
      <c r="P36" s="12"/>
      <c r="Q36" s="12"/>
      <c r="R36" s="15">
        <v>0.3</v>
      </c>
      <c r="S36" s="14">
        <f>H36*R36</f>
        <v>2794.5389999999998</v>
      </c>
      <c r="T36" s="14"/>
      <c r="U36" s="2">
        <f>T36+S36+N36+L36+H36</f>
        <v>13972.695</v>
      </c>
      <c r="V36" s="2"/>
      <c r="W36" s="2">
        <f t="shared" ref="W36:W46" si="4">U36+V36</f>
        <v>13972.695</v>
      </c>
    </row>
    <row r="37" spans="1:24" s="3" customFormat="1" ht="30" customHeight="1" x14ac:dyDescent="0.2">
      <c r="A37" s="46">
        <v>14</v>
      </c>
      <c r="B37" s="5" t="s">
        <v>60</v>
      </c>
      <c r="C37" s="113" t="s">
        <v>75</v>
      </c>
      <c r="D37" s="5">
        <v>0.5</v>
      </c>
      <c r="E37" s="114" t="s">
        <v>47</v>
      </c>
      <c r="F37" s="27">
        <f>F21*0.9</f>
        <v>8022.6</v>
      </c>
      <c r="G37" s="6"/>
      <c r="H37" s="27">
        <f>((D37*F37)+((D37*F37)*10%))</f>
        <v>4412.43</v>
      </c>
      <c r="I37" s="38"/>
      <c r="J37" s="13">
        <v>0.2</v>
      </c>
      <c r="K37" s="6"/>
      <c r="L37" s="27">
        <f>H37*J37</f>
        <v>882.4860000000001</v>
      </c>
      <c r="M37" s="13"/>
      <c r="N37" s="6"/>
      <c r="O37" s="6"/>
      <c r="P37" s="5"/>
      <c r="Q37" s="5"/>
      <c r="R37" s="13">
        <v>0.2</v>
      </c>
      <c r="S37" s="27">
        <f>H37*R37</f>
        <v>882.4860000000001</v>
      </c>
      <c r="T37" s="27"/>
      <c r="U37" s="2">
        <f>T37+S37+N37+L37+H37+0.01</f>
        <v>6177.4120000000003</v>
      </c>
      <c r="V37" s="2"/>
      <c r="W37" s="2">
        <f t="shared" si="4"/>
        <v>6177.4120000000003</v>
      </c>
    </row>
    <row r="38" spans="1:24" s="3" customFormat="1" ht="21" customHeight="1" x14ac:dyDescent="0.2">
      <c r="A38" s="135">
        <v>15</v>
      </c>
      <c r="B38" s="134" t="s">
        <v>18</v>
      </c>
      <c r="C38" s="35" t="s">
        <v>19</v>
      </c>
      <c r="D38" s="134">
        <v>0.25</v>
      </c>
      <c r="E38" s="134">
        <v>13</v>
      </c>
      <c r="F38" s="2">
        <v>7253</v>
      </c>
      <c r="G38" s="2"/>
      <c r="H38" s="2">
        <f>((F38*D38)+(F38*D38)*10%)</f>
        <v>1994.575</v>
      </c>
      <c r="I38" s="28"/>
      <c r="J38" s="4">
        <v>0.2</v>
      </c>
      <c r="K38" s="2"/>
      <c r="L38" s="2">
        <f>H38*J38</f>
        <v>398.91500000000002</v>
      </c>
      <c r="M38" s="4"/>
      <c r="N38" s="2"/>
      <c r="O38" s="2"/>
      <c r="P38" s="134"/>
      <c r="Q38" s="134"/>
      <c r="R38" s="4">
        <v>0.2</v>
      </c>
      <c r="S38" s="2">
        <f t="shared" ref="S38" si="5">H38*R38</f>
        <v>398.91500000000002</v>
      </c>
      <c r="T38" s="2">
        <v>797.83</v>
      </c>
      <c r="U38" s="2">
        <f>T38+S38+N38+L38+H38+0.01</f>
        <v>3590.2450000000003</v>
      </c>
      <c r="V38" s="2"/>
      <c r="W38" s="2">
        <f t="shared" si="4"/>
        <v>3590.2450000000003</v>
      </c>
    </row>
    <row r="39" spans="1:24" s="3" customFormat="1" ht="18" customHeight="1" x14ac:dyDescent="0.2">
      <c r="A39" s="135">
        <v>16</v>
      </c>
      <c r="B39" s="134">
        <v>2340</v>
      </c>
      <c r="C39" s="35" t="s">
        <v>61</v>
      </c>
      <c r="D39" s="134">
        <v>0.25</v>
      </c>
      <c r="E39" s="134">
        <v>13</v>
      </c>
      <c r="F39" s="2">
        <v>7253</v>
      </c>
      <c r="G39" s="2"/>
      <c r="H39" s="2">
        <f>((F39*D39)+(F39*D39)*10%)</f>
        <v>1994.575</v>
      </c>
      <c r="I39" s="28"/>
      <c r="J39" s="4">
        <v>0.2</v>
      </c>
      <c r="K39" s="2"/>
      <c r="L39" s="2">
        <f>H39*J39</f>
        <v>398.91500000000002</v>
      </c>
      <c r="M39" s="4"/>
      <c r="N39" s="2"/>
      <c r="O39" s="2"/>
      <c r="P39" s="134"/>
      <c r="Q39" s="134"/>
      <c r="R39" s="4">
        <v>0.2</v>
      </c>
      <c r="S39" s="2">
        <f>H39*R39</f>
        <v>398.91500000000002</v>
      </c>
      <c r="T39" s="2"/>
      <c r="U39" s="2">
        <f>T39+S39+N39+L39+H39+0.01</f>
        <v>2792.4150000000004</v>
      </c>
      <c r="V39" s="2"/>
      <c r="W39" s="2">
        <f t="shared" si="4"/>
        <v>2792.4150000000004</v>
      </c>
    </row>
    <row r="40" spans="1:24" s="24" customFormat="1" ht="23.25" customHeight="1" x14ac:dyDescent="0.2">
      <c r="A40" s="135">
        <v>17</v>
      </c>
      <c r="B40" s="134" t="s">
        <v>62</v>
      </c>
      <c r="C40" s="34" t="s">
        <v>49</v>
      </c>
      <c r="D40" s="134">
        <v>1</v>
      </c>
      <c r="E40" s="147" t="s">
        <v>52</v>
      </c>
      <c r="F40" s="148"/>
      <c r="G40" s="149"/>
      <c r="H40" s="2"/>
      <c r="I40" s="28"/>
      <c r="J40" s="4"/>
      <c r="K40" s="2"/>
      <c r="L40" s="2"/>
      <c r="M40" s="4"/>
      <c r="N40" s="2"/>
      <c r="O40" s="2"/>
      <c r="P40" s="134"/>
      <c r="Q40" s="134"/>
      <c r="R40" s="4"/>
      <c r="S40" s="2"/>
      <c r="T40" s="107"/>
      <c r="U40" s="2">
        <v>9989.93</v>
      </c>
      <c r="V40" s="2"/>
      <c r="W40" s="2">
        <f t="shared" si="4"/>
        <v>9989.93</v>
      </c>
    </row>
    <row r="41" spans="1:24" s="3" customFormat="1" ht="24.75" customHeight="1" x14ac:dyDescent="0.2">
      <c r="A41" s="135">
        <v>18</v>
      </c>
      <c r="B41" s="134">
        <v>2320</v>
      </c>
      <c r="C41" s="34" t="s">
        <v>51</v>
      </c>
      <c r="D41" s="2">
        <f>17.03+0.78</f>
        <v>17.810000000000002</v>
      </c>
      <c r="E41" s="138" t="s">
        <v>52</v>
      </c>
      <c r="F41" s="138"/>
      <c r="G41" s="138"/>
      <c r="H41" s="2"/>
      <c r="I41" s="28"/>
      <c r="J41" s="4"/>
      <c r="K41" s="2"/>
      <c r="L41" s="2"/>
      <c r="M41" s="4"/>
      <c r="N41" s="2"/>
      <c r="O41" s="2"/>
      <c r="P41" s="134"/>
      <c r="Q41" s="134"/>
      <c r="R41" s="4"/>
      <c r="S41" s="2"/>
      <c r="T41" s="2"/>
      <c r="U41" s="115">
        <f>215883.88+8564.03</f>
        <v>224447.91</v>
      </c>
      <c r="V41" s="116"/>
      <c r="W41" s="2">
        <f t="shared" si="4"/>
        <v>224447.91</v>
      </c>
    </row>
    <row r="42" spans="1:24" s="127" customFormat="1" ht="24.75" customHeight="1" x14ac:dyDescent="0.2">
      <c r="A42" s="135">
        <v>19</v>
      </c>
      <c r="B42" s="134">
        <v>3330</v>
      </c>
      <c r="C42" s="34" t="s">
        <v>65</v>
      </c>
      <c r="D42" s="134">
        <v>1</v>
      </c>
      <c r="E42" s="134">
        <v>12</v>
      </c>
      <c r="F42" s="2">
        <v>7450.3</v>
      </c>
      <c r="G42" s="2"/>
      <c r="H42" s="2">
        <f>F42*D42</f>
        <v>7450.3</v>
      </c>
      <c r="I42" s="28"/>
      <c r="J42" s="4">
        <v>0.2</v>
      </c>
      <c r="K42" s="2"/>
      <c r="L42" s="2">
        <f>H42*J42</f>
        <v>1490.0600000000002</v>
      </c>
      <c r="M42" s="4"/>
      <c r="N42" s="2"/>
      <c r="O42" s="2"/>
      <c r="P42" s="134"/>
      <c r="Q42" s="134"/>
      <c r="R42" s="4">
        <v>0.3</v>
      </c>
      <c r="S42" s="2">
        <f>H42*R42</f>
        <v>2235.09</v>
      </c>
      <c r="T42" s="2">
        <f>H42*20%</f>
        <v>1490.0600000000002</v>
      </c>
      <c r="U42" s="115">
        <f>T42+S42+L42+H42</f>
        <v>12665.510000000002</v>
      </c>
      <c r="V42" s="116"/>
      <c r="W42" s="2">
        <f t="shared" si="4"/>
        <v>12665.510000000002</v>
      </c>
    </row>
    <row r="43" spans="1:24" s="102" customFormat="1" ht="19.5" customHeight="1" x14ac:dyDescent="0.2">
      <c r="A43" s="135">
        <v>20</v>
      </c>
      <c r="B43" s="134">
        <v>3476</v>
      </c>
      <c r="C43" s="34" t="s">
        <v>80</v>
      </c>
      <c r="D43" s="134">
        <v>0.5</v>
      </c>
      <c r="E43" s="138" t="s">
        <v>52</v>
      </c>
      <c r="F43" s="138"/>
      <c r="G43" s="138"/>
      <c r="H43" s="2"/>
      <c r="I43" s="28"/>
      <c r="J43" s="4"/>
      <c r="K43" s="2"/>
      <c r="L43" s="2"/>
      <c r="M43" s="4"/>
      <c r="N43" s="2"/>
      <c r="O43" s="2"/>
      <c r="P43" s="134"/>
      <c r="Q43" s="134"/>
      <c r="R43" s="4"/>
      <c r="S43" s="2"/>
      <c r="T43" s="2"/>
      <c r="U43" s="115">
        <v>4577.1400000000003</v>
      </c>
      <c r="V43" s="116"/>
      <c r="W43" s="2">
        <f t="shared" si="4"/>
        <v>4577.1400000000003</v>
      </c>
      <c r="X43" s="131"/>
    </row>
    <row r="44" spans="1:24" s="3" customFormat="1" ht="24" customHeight="1" x14ac:dyDescent="0.2">
      <c r="A44" s="135">
        <v>21</v>
      </c>
      <c r="B44" s="134" t="s">
        <v>63</v>
      </c>
      <c r="C44" s="35" t="s">
        <v>53</v>
      </c>
      <c r="D44" s="134">
        <v>0.5</v>
      </c>
      <c r="E44" s="134">
        <v>7</v>
      </c>
      <c r="F44" s="2">
        <v>4920</v>
      </c>
      <c r="G44" s="2"/>
      <c r="H44" s="2">
        <f>F44*D44</f>
        <v>2460</v>
      </c>
      <c r="I44" s="28"/>
      <c r="J44" s="4"/>
      <c r="K44" s="2"/>
      <c r="L44" s="2"/>
      <c r="M44" s="4"/>
      <c r="N44" s="2"/>
      <c r="O44" s="2"/>
      <c r="P44" s="4"/>
      <c r="Q44" s="2"/>
      <c r="R44" s="4"/>
      <c r="S44" s="2"/>
      <c r="T44" s="2"/>
      <c r="U44" s="2">
        <f>T44+S44+N44+L44+H44</f>
        <v>2460</v>
      </c>
      <c r="V44" s="2">
        <f>(8000*D44)-U44</f>
        <v>1540</v>
      </c>
      <c r="W44" s="2">
        <f t="shared" si="4"/>
        <v>4000</v>
      </c>
    </row>
    <row r="45" spans="1:24" s="3" customFormat="1" ht="20.25" customHeight="1" x14ac:dyDescent="0.2">
      <c r="A45" s="135">
        <v>22</v>
      </c>
      <c r="B45" s="134">
        <v>1239</v>
      </c>
      <c r="C45" s="35" t="s">
        <v>26</v>
      </c>
      <c r="D45" s="134">
        <v>1</v>
      </c>
      <c r="E45" s="134">
        <v>7</v>
      </c>
      <c r="F45" s="2">
        <v>4920</v>
      </c>
      <c r="G45" s="2"/>
      <c r="H45" s="2">
        <f>F45*D45</f>
        <v>4920</v>
      </c>
      <c r="I45" s="28"/>
      <c r="J45" s="4"/>
      <c r="K45" s="2"/>
      <c r="L45" s="2"/>
      <c r="M45" s="4">
        <v>0.5</v>
      </c>
      <c r="N45" s="2">
        <f>F45*M45</f>
        <v>2460</v>
      </c>
      <c r="O45" s="2"/>
      <c r="P45" s="4"/>
      <c r="Q45" s="2"/>
      <c r="R45" s="4"/>
      <c r="S45" s="2"/>
      <c r="T45" s="2"/>
      <c r="U45" s="2">
        <f>T45+S45+N45+L45+H45</f>
        <v>7380</v>
      </c>
      <c r="V45" s="2">
        <v>620</v>
      </c>
      <c r="W45" s="2">
        <f>U45+V45</f>
        <v>8000</v>
      </c>
    </row>
    <row r="46" spans="1:24" s="3" customFormat="1" ht="25.5" customHeight="1" x14ac:dyDescent="0.2">
      <c r="A46" s="137">
        <v>23</v>
      </c>
      <c r="B46" s="136">
        <v>4115</v>
      </c>
      <c r="C46" s="35" t="s">
        <v>70</v>
      </c>
      <c r="D46" s="136">
        <v>0.5</v>
      </c>
      <c r="E46" s="136">
        <v>4</v>
      </c>
      <c r="F46" s="2">
        <v>4058</v>
      </c>
      <c r="G46" s="2"/>
      <c r="H46" s="2">
        <f t="shared" ref="H46:H54" si="6">F46*D46</f>
        <v>2029</v>
      </c>
      <c r="I46" s="28"/>
      <c r="J46" s="4"/>
      <c r="K46" s="2"/>
      <c r="L46" s="2"/>
      <c r="M46" s="4"/>
      <c r="N46" s="2"/>
      <c r="O46" s="2"/>
      <c r="P46" s="4"/>
      <c r="Q46" s="2"/>
      <c r="R46" s="4"/>
      <c r="S46" s="2"/>
      <c r="T46" s="2">
        <f>H46*30%</f>
        <v>608.69999999999993</v>
      </c>
      <c r="U46" s="2">
        <f>T46+S46+N46+L46+H46</f>
        <v>2637.7</v>
      </c>
      <c r="V46" s="2">
        <v>1362.3</v>
      </c>
      <c r="W46" s="2">
        <f t="shared" si="4"/>
        <v>4000</v>
      </c>
    </row>
    <row r="47" spans="1:24" s="128" customFormat="1" ht="23.25" customHeight="1" x14ac:dyDescent="0.2">
      <c r="A47" s="42">
        <v>24</v>
      </c>
      <c r="B47" s="134" t="s">
        <v>28</v>
      </c>
      <c r="C47" s="35" t="s">
        <v>87</v>
      </c>
      <c r="D47" s="12">
        <v>0.5</v>
      </c>
      <c r="E47" s="12">
        <v>10</v>
      </c>
      <c r="F47" s="14">
        <v>5815</v>
      </c>
      <c r="G47" s="14"/>
      <c r="H47" s="14">
        <f t="shared" si="6"/>
        <v>2907.5</v>
      </c>
      <c r="I47" s="38"/>
      <c r="J47" s="15"/>
      <c r="K47" s="14"/>
      <c r="L47" s="14">
        <f>H47*10%</f>
        <v>290.75</v>
      </c>
      <c r="M47" s="15"/>
      <c r="N47" s="14"/>
      <c r="O47" s="14"/>
      <c r="P47" s="4"/>
      <c r="Q47" s="2"/>
      <c r="R47" s="4"/>
      <c r="S47" s="2">
        <f>H47*10%</f>
        <v>290.75</v>
      </c>
      <c r="T47" s="115"/>
      <c r="U47" s="2">
        <f>T47+S47+N47+L47+H47</f>
        <v>3489</v>
      </c>
      <c r="V47" s="2">
        <v>511</v>
      </c>
      <c r="W47" s="2">
        <f>U47+V47</f>
        <v>4000</v>
      </c>
      <c r="X47" s="129"/>
    </row>
    <row r="48" spans="1:24" s="24" customFormat="1" ht="19.5" customHeight="1" x14ac:dyDescent="0.2">
      <c r="A48" s="42">
        <v>25</v>
      </c>
      <c r="B48" s="134">
        <v>3231</v>
      </c>
      <c r="C48" s="35" t="s">
        <v>37</v>
      </c>
      <c r="D48" s="134">
        <v>0.5</v>
      </c>
      <c r="E48" s="134">
        <v>8</v>
      </c>
      <c r="F48" s="2">
        <v>5240</v>
      </c>
      <c r="G48" s="2"/>
      <c r="H48" s="2">
        <f>F48*D48</f>
        <v>2620</v>
      </c>
      <c r="I48" s="38"/>
      <c r="J48" s="4"/>
      <c r="K48" s="2"/>
      <c r="L48" s="2"/>
      <c r="M48" s="4"/>
      <c r="N48" s="2"/>
      <c r="O48" s="2"/>
      <c r="P48" s="134"/>
      <c r="Q48" s="134"/>
      <c r="R48" s="4">
        <v>0.2</v>
      </c>
      <c r="S48" s="2">
        <f>H48*R48</f>
        <v>524</v>
      </c>
      <c r="T48" s="2"/>
      <c r="U48" s="2">
        <f>T48+S48+N48+L48+H48+K48</f>
        <v>3144</v>
      </c>
      <c r="V48" s="2">
        <v>856</v>
      </c>
      <c r="W48" s="2">
        <f>U48+V48</f>
        <v>4000</v>
      </c>
    </row>
    <row r="49" spans="1:23" s="3" customFormat="1" ht="39" customHeight="1" x14ac:dyDescent="0.2">
      <c r="A49" s="42">
        <v>26</v>
      </c>
      <c r="B49" s="134">
        <v>7129</v>
      </c>
      <c r="C49" s="35" t="s">
        <v>55</v>
      </c>
      <c r="D49" s="134">
        <v>1</v>
      </c>
      <c r="E49" s="134">
        <v>2</v>
      </c>
      <c r="F49" s="2">
        <v>3483</v>
      </c>
      <c r="G49" s="2"/>
      <c r="H49" s="2">
        <f t="shared" si="6"/>
        <v>3483</v>
      </c>
      <c r="I49" s="38"/>
      <c r="J49" s="4"/>
      <c r="K49" s="2"/>
      <c r="L49" s="2"/>
      <c r="M49" s="4"/>
      <c r="N49" s="2"/>
      <c r="O49" s="2"/>
      <c r="P49" s="134"/>
      <c r="Q49" s="2"/>
      <c r="R49" s="4"/>
      <c r="S49" s="2"/>
      <c r="T49" s="2"/>
      <c r="U49" s="2">
        <f>T49+S49+N49+L49+H49</f>
        <v>3483</v>
      </c>
      <c r="V49" s="2">
        <f>(8000*D49)-U49</f>
        <v>4517</v>
      </c>
      <c r="W49" s="2">
        <f>U49+V49</f>
        <v>8000</v>
      </c>
    </row>
    <row r="50" spans="1:23" s="3" customFormat="1" ht="24.75" customHeight="1" x14ac:dyDescent="0.2">
      <c r="A50" s="42">
        <v>27</v>
      </c>
      <c r="B50" s="134">
        <v>8162</v>
      </c>
      <c r="C50" s="35" t="s">
        <v>56</v>
      </c>
      <c r="D50" s="134">
        <v>1</v>
      </c>
      <c r="E50" s="134">
        <v>2</v>
      </c>
      <c r="F50" s="2">
        <v>3483</v>
      </c>
      <c r="G50" s="2"/>
      <c r="H50" s="2">
        <f>F50*D50</f>
        <v>3483</v>
      </c>
      <c r="I50" s="38"/>
      <c r="J50" s="4">
        <v>0.04</v>
      </c>
      <c r="K50" s="2">
        <f>H50*J50</f>
        <v>139.32</v>
      </c>
      <c r="L50" s="2"/>
      <c r="M50" s="4"/>
      <c r="N50" s="2"/>
      <c r="O50" s="2"/>
      <c r="P50" s="4">
        <v>0.35</v>
      </c>
      <c r="Q50" s="2">
        <f>H50*P50</f>
        <v>1219.05</v>
      </c>
      <c r="R50" s="4"/>
      <c r="S50" s="2"/>
      <c r="T50" s="2"/>
      <c r="U50" s="2">
        <f>Q50+K50+H50</f>
        <v>4841.37</v>
      </c>
      <c r="V50" s="2">
        <v>4517</v>
      </c>
      <c r="W50" s="2">
        <f>U50+V50</f>
        <v>9358.369999999999</v>
      </c>
    </row>
    <row r="51" spans="1:23" s="3" customFormat="1" ht="27" customHeight="1" x14ac:dyDescent="0.2">
      <c r="A51" s="42">
        <v>28</v>
      </c>
      <c r="B51" s="134">
        <v>8162</v>
      </c>
      <c r="C51" s="35" t="s">
        <v>57</v>
      </c>
      <c r="D51" s="134">
        <v>3</v>
      </c>
      <c r="E51" s="134">
        <v>2</v>
      </c>
      <c r="F51" s="2">
        <v>3483</v>
      </c>
      <c r="G51" s="2"/>
      <c r="H51" s="2">
        <f>F51*D51</f>
        <v>10449</v>
      </c>
      <c r="I51" s="38"/>
      <c r="J51" s="4">
        <v>0.04</v>
      </c>
      <c r="K51" s="2">
        <f>H51*J51</f>
        <v>417.96000000000004</v>
      </c>
      <c r="L51" s="2"/>
      <c r="M51" s="4"/>
      <c r="N51" s="2"/>
      <c r="O51" s="2"/>
      <c r="P51" s="4">
        <v>0.35</v>
      </c>
      <c r="Q51" s="2">
        <f>H51*P51</f>
        <v>3657.1499999999996</v>
      </c>
      <c r="R51" s="4"/>
      <c r="S51" s="2"/>
      <c r="T51" s="2"/>
      <c r="U51" s="2">
        <f>Q51+K51+H51</f>
        <v>14524.11</v>
      </c>
      <c r="V51" s="2">
        <v>13551</v>
      </c>
      <c r="W51" s="2">
        <f>U51+V51</f>
        <v>28075.11</v>
      </c>
    </row>
    <row r="52" spans="1:23" s="3" customFormat="1" ht="21" customHeight="1" x14ac:dyDescent="0.2">
      <c r="A52" s="46">
        <v>29</v>
      </c>
      <c r="B52" s="134">
        <v>9411</v>
      </c>
      <c r="C52" s="35" t="s">
        <v>23</v>
      </c>
      <c r="D52" s="134">
        <v>1</v>
      </c>
      <c r="E52" s="134">
        <v>1</v>
      </c>
      <c r="F52" s="2">
        <v>3195</v>
      </c>
      <c r="G52" s="2"/>
      <c r="H52" s="2">
        <f t="shared" si="6"/>
        <v>3195</v>
      </c>
      <c r="I52" s="100"/>
      <c r="J52" s="4"/>
      <c r="K52" s="2"/>
      <c r="L52" s="2"/>
      <c r="M52" s="4">
        <v>0.5</v>
      </c>
      <c r="N52" s="2">
        <f>F52*M52</f>
        <v>1597.5</v>
      </c>
      <c r="O52" s="2"/>
      <c r="P52" s="4"/>
      <c r="Q52" s="2"/>
      <c r="R52" s="4"/>
      <c r="S52" s="2"/>
      <c r="T52" s="2"/>
      <c r="U52" s="2">
        <f>T52+S52+N52+L52+H52</f>
        <v>4792.5</v>
      </c>
      <c r="V52" s="2">
        <v>3207.5</v>
      </c>
      <c r="W52" s="2">
        <f>U52+V52+Q52+K52</f>
        <v>8000</v>
      </c>
    </row>
    <row r="53" spans="1:23" s="3" customFormat="1" ht="19.5" customHeight="1" x14ac:dyDescent="0.2">
      <c r="A53" s="46">
        <v>30</v>
      </c>
      <c r="B53" s="29">
        <v>5122</v>
      </c>
      <c r="C53" s="39" t="s">
        <v>38</v>
      </c>
      <c r="D53" s="29">
        <v>0.5</v>
      </c>
      <c r="E53" s="29">
        <v>3</v>
      </c>
      <c r="F53" s="2">
        <v>3770</v>
      </c>
      <c r="G53" s="27"/>
      <c r="H53" s="27">
        <f>F53*D53</f>
        <v>1885</v>
      </c>
      <c r="I53" s="38"/>
      <c r="J53" s="40">
        <v>0.08</v>
      </c>
      <c r="K53" s="27">
        <f>H53*J53</f>
        <v>150.80000000000001</v>
      </c>
      <c r="L53" s="27"/>
      <c r="M53" s="40"/>
      <c r="N53" s="27"/>
      <c r="O53" s="27"/>
      <c r="P53" s="4"/>
      <c r="Q53" s="2"/>
      <c r="R53" s="4"/>
      <c r="S53" s="2"/>
      <c r="T53" s="2"/>
      <c r="U53" s="2">
        <f>T53+S53+N53+L53+H53+K53</f>
        <v>2035.8</v>
      </c>
      <c r="V53" s="2">
        <v>2115</v>
      </c>
      <c r="W53" s="2">
        <f>U53+V53</f>
        <v>4150.8</v>
      </c>
    </row>
    <row r="54" spans="1:23" s="3" customFormat="1" ht="19.5" customHeight="1" x14ac:dyDescent="0.2">
      <c r="A54" s="46">
        <v>31</v>
      </c>
      <c r="B54" s="5">
        <v>9322</v>
      </c>
      <c r="C54" s="41" t="s">
        <v>27</v>
      </c>
      <c r="D54" s="5">
        <v>1</v>
      </c>
      <c r="E54" s="5">
        <v>1</v>
      </c>
      <c r="F54" s="2">
        <v>3195</v>
      </c>
      <c r="G54" s="6"/>
      <c r="H54" s="6">
        <f t="shared" si="6"/>
        <v>3195</v>
      </c>
      <c r="I54" s="38"/>
      <c r="J54" s="13">
        <v>0.04</v>
      </c>
      <c r="K54" s="6">
        <f>H54*J54</f>
        <v>127.8</v>
      </c>
      <c r="L54" s="6"/>
      <c r="M54" s="13"/>
      <c r="N54" s="6"/>
      <c r="O54" s="6"/>
      <c r="P54" s="4"/>
      <c r="Q54" s="2"/>
      <c r="R54" s="4"/>
      <c r="S54" s="2"/>
      <c r="T54" s="2"/>
      <c r="U54" s="2">
        <f>T54+S54+N54+L54+H54+K54</f>
        <v>3322.8</v>
      </c>
      <c r="V54" s="2">
        <v>4805</v>
      </c>
      <c r="W54" s="2">
        <f>U54+V54</f>
        <v>8127.8</v>
      </c>
    </row>
    <row r="55" spans="1:23" s="3" customFormat="1" ht="27.75" customHeight="1" x14ac:dyDescent="0.2">
      <c r="A55" s="42">
        <v>32</v>
      </c>
      <c r="B55" s="134">
        <v>9132</v>
      </c>
      <c r="C55" s="35" t="s">
        <v>34</v>
      </c>
      <c r="D55" s="134">
        <v>2.5</v>
      </c>
      <c r="E55" s="134">
        <v>1</v>
      </c>
      <c r="F55" s="2">
        <v>3195</v>
      </c>
      <c r="G55" s="2"/>
      <c r="H55" s="2">
        <f>F55*D55</f>
        <v>7987.5</v>
      </c>
      <c r="I55" s="100"/>
      <c r="J55" s="4">
        <v>0.1</v>
      </c>
      <c r="K55" s="2">
        <f>H55*J55</f>
        <v>798.75</v>
      </c>
      <c r="L55" s="2"/>
      <c r="M55" s="4"/>
      <c r="N55" s="2"/>
      <c r="O55" s="2"/>
      <c r="P55" s="4"/>
      <c r="Q55" s="2"/>
      <c r="R55" s="4"/>
      <c r="S55" s="2"/>
      <c r="T55" s="2"/>
      <c r="U55" s="2">
        <f>T55+S55+N55+L55+H55+K55</f>
        <v>8786.25</v>
      </c>
      <c r="V55" s="2">
        <v>12012.5</v>
      </c>
      <c r="W55" s="2">
        <f>U55+V55</f>
        <v>20798.75</v>
      </c>
    </row>
    <row r="56" spans="1:23" s="3" customFormat="1" ht="21" customHeight="1" thickBot="1" x14ac:dyDescent="0.25">
      <c r="A56" s="26">
        <v>33</v>
      </c>
      <c r="B56" s="29">
        <v>9152</v>
      </c>
      <c r="C56" s="39" t="s">
        <v>21</v>
      </c>
      <c r="D56" s="29">
        <v>2</v>
      </c>
      <c r="E56" s="29">
        <v>1</v>
      </c>
      <c r="F56" s="6">
        <v>3195</v>
      </c>
      <c r="G56" s="27"/>
      <c r="H56" s="27">
        <f>F56*D56</f>
        <v>6390</v>
      </c>
      <c r="I56" s="38"/>
      <c r="J56" s="40"/>
      <c r="K56" s="27"/>
      <c r="L56" s="27"/>
      <c r="M56" s="40"/>
      <c r="N56" s="27"/>
      <c r="O56" s="27"/>
      <c r="P56" s="13">
        <v>0.35</v>
      </c>
      <c r="Q56" s="6">
        <f>H56*P56</f>
        <v>2236.5</v>
      </c>
      <c r="R56" s="13"/>
      <c r="S56" s="6"/>
      <c r="T56" s="6"/>
      <c r="U56" s="6">
        <f>T56+S56+N56+L56+H56+K56+Q56</f>
        <v>8626.5</v>
      </c>
      <c r="V56" s="6">
        <v>9610</v>
      </c>
      <c r="W56" s="6">
        <f>U56+V56</f>
        <v>18236.5</v>
      </c>
    </row>
    <row r="57" spans="1:23" s="3" customFormat="1" ht="15.75" customHeight="1" thickBot="1" x14ac:dyDescent="0.3">
      <c r="A57" s="16"/>
      <c r="B57" s="17"/>
      <c r="C57" s="94" t="s">
        <v>14</v>
      </c>
      <c r="D57" s="18">
        <f>SUM(D36:D56)</f>
        <v>37.31</v>
      </c>
      <c r="E57" s="92"/>
      <c r="F57" s="93"/>
      <c r="G57" s="19"/>
      <c r="H57" s="18">
        <f>SUM(H36:H56)</f>
        <v>80171.009999999995</v>
      </c>
      <c r="I57" s="23"/>
      <c r="J57" s="20"/>
      <c r="K57" s="18">
        <f>SUM(K36:K56)</f>
        <v>1634.6299999999999</v>
      </c>
      <c r="L57" s="18">
        <f>SUM(L36:L56)</f>
        <v>5324.152</v>
      </c>
      <c r="M57" s="25"/>
      <c r="N57" s="18">
        <f>SUM(N36:N56)</f>
        <v>4057.5</v>
      </c>
      <c r="O57" s="18"/>
      <c r="P57" s="20"/>
      <c r="Q57" s="18">
        <f>SUM(Q45:Q56)</f>
        <v>7112.7</v>
      </c>
      <c r="R57" s="20"/>
      <c r="S57" s="18">
        <f t="shared" ref="S57:T57" si="7">SUM(S36:S56)</f>
        <v>7524.6949999999997</v>
      </c>
      <c r="T57" s="18">
        <f t="shared" si="7"/>
        <v>2896.59</v>
      </c>
      <c r="U57" s="18">
        <f>SUM(U36:U56)</f>
        <v>347736.28700000001</v>
      </c>
      <c r="V57" s="18">
        <f>SUM(V36:V56)</f>
        <v>59224.3</v>
      </c>
      <c r="W57" s="54">
        <f>SUM(W36:W56)</f>
        <v>406960.587</v>
      </c>
    </row>
    <row r="58" spans="1:23" s="3" customFormat="1" ht="38.25" customHeight="1" thickBot="1" x14ac:dyDescent="0.3">
      <c r="A58" s="21"/>
      <c r="B58" s="79"/>
      <c r="C58" s="95" t="s">
        <v>15</v>
      </c>
      <c r="D58" s="50">
        <f>D21+D34+D57</f>
        <v>49.86</v>
      </c>
      <c r="E58" s="22"/>
      <c r="F58" s="18"/>
      <c r="G58" s="18">
        <f>G34+G57</f>
        <v>0</v>
      </c>
      <c r="H58" s="18">
        <f>H57+H34+H21</f>
        <v>138035.49</v>
      </c>
      <c r="I58" s="23"/>
      <c r="J58" s="20"/>
      <c r="K58" s="18">
        <f>K57+K34+K21</f>
        <v>2991.91</v>
      </c>
      <c r="L58" s="18">
        <f>L57+L34+L21</f>
        <v>10853.038</v>
      </c>
      <c r="M58" s="25"/>
      <c r="N58" s="18">
        <f>N34+N57+N21</f>
        <v>5997.9494999999997</v>
      </c>
      <c r="O58" s="19"/>
      <c r="P58" s="20"/>
      <c r="Q58" s="18">
        <f>Q57+Q34+Q21</f>
        <v>14225.4</v>
      </c>
      <c r="R58" s="20"/>
      <c r="S58" s="18">
        <f>S34+S57+S21</f>
        <v>14200.686999999998</v>
      </c>
      <c r="T58" s="18">
        <f>T57+T34+T21</f>
        <v>2896.59</v>
      </c>
      <c r="U58" s="18">
        <f>U57+U34+U21</f>
        <v>428216.06450000004</v>
      </c>
      <c r="V58" s="18">
        <f>V57+V34+V21</f>
        <v>101577.55</v>
      </c>
      <c r="W58" s="54">
        <f>W57+W34+W21</f>
        <v>529793.61450000003</v>
      </c>
    </row>
    <row r="59" spans="1:23" s="3" customFormat="1" ht="18" customHeight="1" x14ac:dyDescent="0.2">
      <c r="A59" s="48"/>
      <c r="B59" s="48"/>
      <c r="C59" s="7"/>
      <c r="D59" s="8"/>
      <c r="E59" s="7"/>
      <c r="F59" s="7"/>
      <c r="G59" s="7"/>
      <c r="H59" s="38"/>
      <c r="I59" s="9"/>
      <c r="J59" s="7"/>
      <c r="K59" s="7"/>
      <c r="L59" s="49"/>
      <c r="M59" s="7"/>
      <c r="N59" s="10"/>
      <c r="O59" s="9"/>
      <c r="P59" s="7"/>
      <c r="Q59" s="9"/>
      <c r="R59" s="7"/>
      <c r="S59" s="9"/>
      <c r="T59" s="7"/>
      <c r="U59" s="7"/>
      <c r="V59" s="7"/>
      <c r="W59" s="7"/>
    </row>
    <row r="60" spans="1:23" s="3" customFormat="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101"/>
      <c r="M60" s="101"/>
      <c r="N60" s="101"/>
      <c r="O60" s="24"/>
      <c r="P60" s="24"/>
      <c r="Q60" s="24"/>
      <c r="R60" s="24"/>
      <c r="S60" s="24"/>
      <c r="T60" s="24"/>
      <c r="U60" s="24"/>
      <c r="V60" s="24"/>
      <c r="W60" s="24"/>
    </row>
    <row r="61" spans="1:23" s="3" customFormat="1" x14ac:dyDescent="0.2">
      <c r="A61" s="56"/>
      <c r="B61" s="56"/>
      <c r="C61" s="56"/>
      <c r="D61" s="56"/>
      <c r="E61" s="56"/>
      <c r="F61" s="56"/>
      <c r="G61" s="24"/>
      <c r="H61" s="24"/>
      <c r="I61" s="24"/>
      <c r="J61" s="24"/>
      <c r="K61" s="24"/>
      <c r="L61" s="24"/>
      <c r="M61" s="24"/>
      <c r="N61" s="24"/>
      <c r="O61" s="101"/>
      <c r="P61" s="24"/>
      <c r="Q61" s="24"/>
      <c r="R61" s="24"/>
      <c r="S61" s="24"/>
      <c r="T61" s="24"/>
      <c r="U61" s="80"/>
      <c r="V61" s="80"/>
      <c r="W61" s="80"/>
    </row>
    <row r="62" spans="1:23" s="3" customFormat="1" x14ac:dyDescent="0.2">
      <c r="A62" s="56"/>
      <c r="B62" s="56"/>
      <c r="C62" s="56"/>
      <c r="D62" s="56"/>
      <c r="E62" s="56"/>
      <c r="F62" s="56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spans="1:23" s="3" customFormat="1" x14ac:dyDescent="0.2">
      <c r="A63" s="56"/>
      <c r="B63" s="56" t="s">
        <v>79</v>
      </c>
      <c r="C63" s="56"/>
      <c r="D63" s="56"/>
      <c r="E63" s="56" t="s">
        <v>76</v>
      </c>
      <c r="F63" s="56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spans="1:23" s="3" customFormat="1" x14ac:dyDescent="0.2">
      <c r="A64" s="56"/>
      <c r="B64" s="56"/>
      <c r="C64" s="56"/>
      <c r="D64" s="56"/>
      <c r="E64" s="56"/>
      <c r="F64" s="56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80"/>
      <c r="V64" s="80"/>
      <c r="W64" s="24"/>
    </row>
    <row r="65" spans="1:23" s="3" customFormat="1" x14ac:dyDescent="0.2">
      <c r="A65" s="56"/>
      <c r="B65" s="56" t="s">
        <v>82</v>
      </c>
      <c r="C65" s="56"/>
      <c r="D65" s="56"/>
      <c r="E65" s="56"/>
      <c r="F65" s="56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spans="1:23" s="3" customFormat="1" x14ac:dyDescent="0.2">
      <c r="A66" s="24"/>
      <c r="B66" s="24" t="s">
        <v>83</v>
      </c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80"/>
      <c r="T66" s="80"/>
      <c r="U66" s="24"/>
      <c r="V66" s="24"/>
      <c r="W66" s="24"/>
    </row>
    <row r="67" spans="1:23" s="3" customFormat="1" x14ac:dyDescent="0.2">
      <c r="A67" s="24"/>
      <c r="B67" s="24" t="s">
        <v>84</v>
      </c>
      <c r="C67" s="24"/>
      <c r="D67" s="24"/>
      <c r="E67" s="24" t="s">
        <v>81</v>
      </c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spans="1:23" s="3" customFormat="1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spans="1:23" s="3" customFormat="1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spans="1:23" s="3" customFormat="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</sheetData>
  <mergeCells count="38">
    <mergeCell ref="V2:W2"/>
    <mergeCell ref="P4:R4"/>
    <mergeCell ref="C5:F5"/>
    <mergeCell ref="P5:T5"/>
    <mergeCell ref="C6:F6"/>
    <mergeCell ref="P6:T6"/>
    <mergeCell ref="C7:F7"/>
    <mergeCell ref="P7:T7"/>
    <mergeCell ref="C8:F8"/>
    <mergeCell ref="P8:T8"/>
    <mergeCell ref="C9:F9"/>
    <mergeCell ref="P9:T9"/>
    <mergeCell ref="P15:T16"/>
    <mergeCell ref="V16:W17"/>
    <mergeCell ref="P17:T17"/>
    <mergeCell ref="C18:C20"/>
    <mergeCell ref="D18:D20"/>
    <mergeCell ref="E18:E20"/>
    <mergeCell ref="F18:F20"/>
    <mergeCell ref="G18:G20"/>
    <mergeCell ref="H18:H20"/>
    <mergeCell ref="J18:L18"/>
    <mergeCell ref="W18:W20"/>
    <mergeCell ref="J19:J20"/>
    <mergeCell ref="K19:K20"/>
    <mergeCell ref="L19:L20"/>
    <mergeCell ref="M19:M20"/>
    <mergeCell ref="N19:N20"/>
    <mergeCell ref="E43:G43"/>
    <mergeCell ref="O18:S18"/>
    <mergeCell ref="T18:T20"/>
    <mergeCell ref="U18:U20"/>
    <mergeCell ref="V18:V20"/>
    <mergeCell ref="O19:O20"/>
    <mergeCell ref="P19:Q19"/>
    <mergeCell ref="R19:S19"/>
    <mergeCell ref="E40:G40"/>
    <mergeCell ref="E41:G41"/>
  </mergeCells>
  <pageMargins left="0.31496062992125984" right="0.23622047244094491" top="0.59055118110236227" bottom="0.51181102362204722" header="0.39370078740157483" footer="0.31496062992125984"/>
  <pageSetup paperSize="9" scale="60" fitToHeight="2" orientation="landscape" r:id="rId1"/>
  <headerFooter alignWithMargins="0"/>
  <rowBreaks count="1" manualBreakCount="1">
    <brk id="48" min="1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листопад</vt:lpstr>
      <vt:lpstr>листопад!Область_печати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вова</dc:creator>
  <cp:lastModifiedBy>podolinna</cp:lastModifiedBy>
  <cp:lastPrinted>2024-09-16T12:52:26Z</cp:lastPrinted>
  <dcterms:created xsi:type="dcterms:W3CDTF">2010-02-24T10:05:49Z</dcterms:created>
  <dcterms:modified xsi:type="dcterms:W3CDTF">2024-10-31T06:36:11Z</dcterms:modified>
</cp:coreProperties>
</file>