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75" windowWidth="18885" windowHeight="10200" tabRatio="582"/>
  </bookViews>
  <sheets>
    <sheet name="додаток 3" sheetId="3" r:id="rId1"/>
    <sheet name="Лист2" sheetId="10" r:id="rId2"/>
  </sheets>
  <definedNames>
    <definedName name="_xlnm.Print_Area" localSheetId="0">'додаток 3'!$B$1:$S$145</definedName>
  </definedNames>
  <calcPr calcId="145621"/>
</workbook>
</file>

<file path=xl/calcChain.xml><?xml version="1.0" encoding="utf-8"?>
<calcChain xmlns="http://schemas.openxmlformats.org/spreadsheetml/2006/main">
  <c r="I99" i="3" l="1"/>
  <c r="G21" i="3"/>
  <c r="I21" i="3"/>
  <c r="G99" i="3"/>
  <c r="L114" i="3" l="1"/>
  <c r="L15" i="3"/>
  <c r="G58" i="3"/>
  <c r="Q113" i="3"/>
  <c r="G112" i="3"/>
  <c r="H112" i="3"/>
  <c r="I112" i="3"/>
  <c r="J112" i="3"/>
  <c r="L112" i="3"/>
  <c r="M112" i="3"/>
  <c r="N112" i="3"/>
  <c r="O112" i="3"/>
  <c r="F112" i="3"/>
  <c r="F113" i="3"/>
  <c r="G137" i="3" l="1"/>
  <c r="I137" i="3"/>
  <c r="G98" i="3"/>
  <c r="G96" i="3" l="1"/>
  <c r="G148" i="3" l="1"/>
  <c r="L147" i="3"/>
  <c r="G142" i="3"/>
  <c r="L107" i="3"/>
  <c r="L99" i="3"/>
  <c r="G59" i="3"/>
  <c r="H45" i="3" l="1"/>
  <c r="K41" i="3"/>
  <c r="Q41" i="3" s="1"/>
  <c r="P41" i="3"/>
  <c r="G111" i="3" l="1"/>
  <c r="L36" i="3"/>
  <c r="G36" i="3"/>
  <c r="M108" i="3"/>
  <c r="N108" i="3"/>
  <c r="O108" i="3"/>
  <c r="P108" i="3"/>
  <c r="K107" i="3"/>
  <c r="K108" i="3"/>
  <c r="Q108" i="3" s="1"/>
  <c r="G45" i="3"/>
  <c r="F43" i="3"/>
  <c r="F41" i="3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Q42" i="3" s="1"/>
  <c r="G86" i="3"/>
  <c r="G88" i="3"/>
  <c r="G18" i="3"/>
  <c r="P107" i="3"/>
  <c r="F107" i="3"/>
  <c r="Q107" i="3" s="1"/>
  <c r="G105" i="3"/>
  <c r="J105" i="3"/>
  <c r="L105" i="3"/>
  <c r="G15" i="3" l="1"/>
  <c r="P106" i="3" l="1"/>
  <c r="P105" i="3" s="1"/>
  <c r="M125" i="3" l="1"/>
  <c r="G82" i="3" l="1"/>
  <c r="F106" i="3"/>
  <c r="K106" i="3"/>
  <c r="K105" i="3" s="1"/>
  <c r="R100" i="3"/>
  <c r="S100" i="3"/>
  <c r="P101" i="3"/>
  <c r="O101" i="3"/>
  <c r="N101" i="3"/>
  <c r="M101" i="3"/>
  <c r="J101" i="3"/>
  <c r="I101" i="3"/>
  <c r="H101" i="3"/>
  <c r="F101" i="3"/>
  <c r="Q106" i="3" l="1"/>
  <c r="Q105" i="3" s="1"/>
  <c r="F105" i="3"/>
  <c r="G79" i="3"/>
  <c r="P15" i="3" l="1"/>
  <c r="P36" i="3"/>
  <c r="P86" i="3"/>
  <c r="I39" i="3" l="1"/>
  <c r="G39" i="3"/>
  <c r="H20" i="3" l="1"/>
  <c r="H19" i="3" s="1"/>
  <c r="R19" i="3"/>
  <c r="S19" i="3"/>
  <c r="G38" i="3"/>
  <c r="H38" i="3"/>
  <c r="H37" i="3" s="1"/>
  <c r="P98" i="3"/>
  <c r="P114" i="3"/>
  <c r="P112" i="3" s="1"/>
  <c r="F26" i="3"/>
  <c r="Q26" i="3" s="1"/>
  <c r="G23" i="3"/>
  <c r="F23" i="3" s="1"/>
  <c r="Q23" i="3" s="1"/>
  <c r="M46" i="3"/>
  <c r="M41" i="3" s="1"/>
  <c r="L104" i="3" l="1"/>
  <c r="L101" i="3" s="1"/>
  <c r="G140" i="3"/>
  <c r="H140" i="3"/>
  <c r="I140" i="3"/>
  <c r="J140" i="3"/>
  <c r="L140" i="3"/>
  <c r="M140" i="3"/>
  <c r="N140" i="3"/>
  <c r="O140" i="3"/>
  <c r="P141" i="3"/>
  <c r="P140" i="3" s="1"/>
  <c r="K141" i="3"/>
  <c r="K140" i="3" s="1"/>
  <c r="P137" i="3"/>
  <c r="K137" i="3"/>
  <c r="Q141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5" i="3"/>
  <c r="K114" i="3"/>
  <c r="K112" i="3" s="1"/>
  <c r="Q112" i="3" s="1"/>
  <c r="F114" i="3"/>
  <c r="I38" i="3"/>
  <c r="G90" i="3"/>
  <c r="H90" i="3"/>
  <c r="H89" i="3" s="1"/>
  <c r="I90" i="3"/>
  <c r="J90" i="3"/>
  <c r="J89" i="3" s="1"/>
  <c r="K90" i="3"/>
  <c r="L90" i="3"/>
  <c r="L89" i="3" s="1"/>
  <c r="M90" i="3"/>
  <c r="M89" i="3" s="1"/>
  <c r="N90" i="3"/>
  <c r="N89" i="3" s="1"/>
  <c r="O90" i="3"/>
  <c r="P90" i="3"/>
  <c r="P89" i="3" s="1"/>
  <c r="G89" i="3"/>
  <c r="I89" i="3"/>
  <c r="K89" i="3"/>
  <c r="O89" i="3"/>
  <c r="R89" i="3"/>
  <c r="S89" i="3"/>
  <c r="F91" i="3"/>
  <c r="Q91" i="3" s="1"/>
  <c r="K98" i="3"/>
  <c r="G102" i="3"/>
  <c r="G100" i="3" s="1"/>
  <c r="F115" i="3"/>
  <c r="G54" i="3"/>
  <c r="F143" i="3"/>
  <c r="Q143" i="3" s="1"/>
  <c r="R135" i="3"/>
  <c r="S135" i="3"/>
  <c r="F142" i="3"/>
  <c r="I20" i="3"/>
  <c r="I19" i="3" s="1"/>
  <c r="I18" i="3"/>
  <c r="H18" i="3"/>
  <c r="Q142" i="3" l="1"/>
  <c r="Q140" i="3" s="1"/>
  <c r="F140" i="3"/>
  <c r="Q104" i="3"/>
  <c r="K103" i="3"/>
  <c r="Q103" i="3" s="1"/>
  <c r="F36" i="3"/>
  <c r="Q115" i="3"/>
  <c r="Q114" i="3"/>
  <c r="K35" i="3"/>
  <c r="K34" i="3" s="1"/>
  <c r="I136" i="3"/>
  <c r="I84" i="3"/>
  <c r="H17" i="3"/>
  <c r="I86" i="3"/>
  <c r="I17" i="3"/>
  <c r="F35" i="3" l="1"/>
  <c r="F34" i="3" s="1"/>
  <c r="Q36" i="3"/>
  <c r="I37" i="3"/>
  <c r="I15" i="3" l="1"/>
  <c r="I14" i="3" l="1"/>
  <c r="J14" i="3"/>
  <c r="L14" i="3"/>
  <c r="M14" i="3"/>
  <c r="N14" i="3"/>
  <c r="O14" i="3"/>
  <c r="P14" i="3"/>
  <c r="K125" i="3"/>
  <c r="K133" i="3"/>
  <c r="M21" i="3" l="1"/>
  <c r="K21" i="3" s="1"/>
  <c r="M18" i="3"/>
  <c r="H44" i="3"/>
  <c r="G44" i="3"/>
  <c r="F44" i="3" s="1"/>
  <c r="F45" i="3"/>
  <c r="F102" i="3"/>
  <c r="F100" i="3" s="1"/>
  <c r="P138" i="3"/>
  <c r="O138" i="3"/>
  <c r="N138" i="3"/>
  <c r="M138" i="3"/>
  <c r="L138" i="3"/>
  <c r="K138" i="3"/>
  <c r="J138" i="3"/>
  <c r="I138" i="3"/>
  <c r="I135" i="3" s="1"/>
  <c r="H138" i="3"/>
  <c r="G138" i="3"/>
  <c r="F138" i="3"/>
  <c r="R134" i="3"/>
  <c r="S134" i="3"/>
  <c r="Q139" i="3"/>
  <c r="Q138" i="3" l="1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20" i="3"/>
  <c r="J19" i="3" s="1"/>
  <c r="L20" i="3"/>
  <c r="L19" i="3" s="1"/>
  <c r="M20" i="3"/>
  <c r="M19" i="3" s="1"/>
  <c r="N20" i="3"/>
  <c r="N19" i="3" s="1"/>
  <c r="O20" i="3"/>
  <c r="O19" i="3" s="1"/>
  <c r="G22" i="3"/>
  <c r="G20" i="3" s="1"/>
  <c r="G19" i="3" s="1"/>
  <c r="K15" i="3"/>
  <c r="K14" i="3" s="1"/>
  <c r="H15" i="3"/>
  <c r="H14" i="3" s="1"/>
  <c r="G14" i="3"/>
  <c r="M45" i="3" l="1"/>
  <c r="M44" i="3" s="1"/>
  <c r="M39" i="3" s="1"/>
  <c r="M38" i="3" s="1"/>
  <c r="M42" i="3"/>
  <c r="M40" i="3" s="1"/>
  <c r="H16" i="3"/>
  <c r="M37" i="3"/>
  <c r="M36" i="3"/>
  <c r="M35" i="3" s="1"/>
  <c r="M34" i="3" s="1"/>
  <c r="F78" i="3"/>
  <c r="Q78" i="3" s="1"/>
  <c r="Q69" i="3"/>
  <c r="E79" i="3"/>
  <c r="G56" i="3"/>
  <c r="Q57" i="3"/>
  <c r="I134" i="3" l="1"/>
  <c r="K136" i="3"/>
  <c r="K135" i="3" s="1"/>
  <c r="F137" i="3"/>
  <c r="F136" i="3" s="1"/>
  <c r="F135" i="3" s="1"/>
  <c r="F134" i="3" s="1"/>
  <c r="P136" i="3"/>
  <c r="P135" i="3" s="1"/>
  <c r="O136" i="3"/>
  <c r="O135" i="3" s="1"/>
  <c r="N136" i="3"/>
  <c r="N135" i="3" s="1"/>
  <c r="M136" i="3"/>
  <c r="M135" i="3" s="1"/>
  <c r="L136" i="3"/>
  <c r="L135" i="3" s="1"/>
  <c r="J136" i="3"/>
  <c r="J135" i="3" s="1"/>
  <c r="H136" i="3"/>
  <c r="H135" i="3" s="1"/>
  <c r="G136" i="3"/>
  <c r="G135" i="3" s="1"/>
  <c r="Q133" i="3"/>
  <c r="Q132" i="3" s="1"/>
  <c r="P132" i="3"/>
  <c r="O132" i="3"/>
  <c r="O131" i="3" s="1"/>
  <c r="O130" i="3" s="1"/>
  <c r="N132" i="3"/>
  <c r="N131" i="3" s="1"/>
  <c r="N130" i="3" s="1"/>
  <c r="M132" i="3"/>
  <c r="L132" i="3"/>
  <c r="J132" i="3"/>
  <c r="J131" i="3" s="1"/>
  <c r="J130" i="3" s="1"/>
  <c r="I132" i="3"/>
  <c r="I131" i="3" s="1"/>
  <c r="I130" i="3" s="1"/>
  <c r="H132" i="3"/>
  <c r="H131" i="3" s="1"/>
  <c r="H130" i="3" s="1"/>
  <c r="G132" i="3"/>
  <c r="F132" i="3"/>
  <c r="F131" i="3" s="1"/>
  <c r="F130" i="3" s="1"/>
  <c r="P131" i="3"/>
  <c r="P130" i="3" s="1"/>
  <c r="M131" i="3"/>
  <c r="M130" i="3" s="1"/>
  <c r="L131" i="3"/>
  <c r="L130" i="3" s="1"/>
  <c r="G131" i="3"/>
  <c r="G130" i="3" s="1"/>
  <c r="F129" i="3"/>
  <c r="Q129" i="3" s="1"/>
  <c r="Q128" i="3" s="1"/>
  <c r="P128" i="3"/>
  <c r="O128" i="3"/>
  <c r="N128" i="3"/>
  <c r="M128" i="3"/>
  <c r="L128" i="3"/>
  <c r="K128" i="3"/>
  <c r="J128" i="3"/>
  <c r="I128" i="3"/>
  <c r="H128" i="3"/>
  <c r="G128" i="3"/>
  <c r="K116" i="3"/>
  <c r="F125" i="3"/>
  <c r="F116" i="3" s="1"/>
  <c r="P116" i="3"/>
  <c r="O116" i="3"/>
  <c r="N116" i="3"/>
  <c r="M116" i="3"/>
  <c r="L116" i="3"/>
  <c r="J116" i="3"/>
  <c r="I116" i="3"/>
  <c r="H116" i="3"/>
  <c r="G116" i="3"/>
  <c r="F111" i="3"/>
  <c r="Q111" i="3" s="1"/>
  <c r="P110" i="3"/>
  <c r="P109" i="3" s="1"/>
  <c r="P102" i="3" s="1"/>
  <c r="P100" i="3" s="1"/>
  <c r="O110" i="3"/>
  <c r="N110" i="3"/>
  <c r="M110" i="3"/>
  <c r="L110" i="3"/>
  <c r="L109" i="3" s="1"/>
  <c r="L102" i="3" s="1"/>
  <c r="L100" i="3" s="1"/>
  <c r="K110" i="3"/>
  <c r="K109" i="3" s="1"/>
  <c r="K102" i="3" s="1"/>
  <c r="K100" i="3" s="1"/>
  <c r="J110" i="3"/>
  <c r="J109" i="3" s="1"/>
  <c r="J102" i="3" s="1"/>
  <c r="J100" i="3" s="1"/>
  <c r="I110" i="3"/>
  <c r="H110" i="3"/>
  <c r="G110" i="3"/>
  <c r="G109" i="3" s="1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6" i="3"/>
  <c r="K85" i="3" s="1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S63" i="3"/>
  <c r="R63" i="3"/>
  <c r="P63" i="3"/>
  <c r="O63" i="3"/>
  <c r="N63" i="3"/>
  <c r="N62" i="3" s="1"/>
  <c r="M63" i="3"/>
  <c r="L63" i="3"/>
  <c r="L62" i="3" s="1"/>
  <c r="K63" i="3"/>
  <c r="J63" i="3"/>
  <c r="J62" i="3" s="1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P20" i="3" s="1"/>
  <c r="P19" i="3" s="1"/>
  <c r="K20" i="3"/>
  <c r="K19" i="3" s="1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S14" i="3"/>
  <c r="S13" i="3" s="1"/>
  <c r="R14" i="3"/>
  <c r="R13" i="3" s="1"/>
  <c r="K9" i="3"/>
  <c r="K62" i="3" l="1"/>
  <c r="P62" i="3"/>
  <c r="H62" i="3"/>
  <c r="H109" i="3"/>
  <c r="H102" i="3" s="1"/>
  <c r="H100" i="3" s="1"/>
  <c r="H107" i="3"/>
  <c r="I109" i="3"/>
  <c r="I102" i="3" s="1"/>
  <c r="I100" i="3" s="1"/>
  <c r="I107" i="3"/>
  <c r="M109" i="3"/>
  <c r="M102" i="3" s="1"/>
  <c r="M100" i="3" s="1"/>
  <c r="M107" i="3"/>
  <c r="F20" i="3"/>
  <c r="N109" i="3"/>
  <c r="N102" i="3" s="1"/>
  <c r="N100" i="3" s="1"/>
  <c r="N107" i="3"/>
  <c r="O109" i="3"/>
  <c r="O102" i="3" s="1"/>
  <c r="O100" i="3" s="1"/>
  <c r="O107" i="3"/>
  <c r="H106" i="3"/>
  <c r="M106" i="3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I62" i="3"/>
  <c r="M62" i="3"/>
  <c r="O62" i="3"/>
  <c r="Q96" i="3"/>
  <c r="Q90" i="3" s="1"/>
  <c r="Q89" i="3" s="1"/>
  <c r="F90" i="3"/>
  <c r="F89" i="3" s="1"/>
  <c r="M134" i="3"/>
  <c r="O134" i="3"/>
  <c r="K134" i="3"/>
  <c r="I83" i="3"/>
  <c r="S144" i="3"/>
  <c r="H83" i="3"/>
  <c r="Q86" i="3"/>
  <c r="Q85" i="3" s="1"/>
  <c r="O83" i="3"/>
  <c r="R144" i="3"/>
  <c r="Q102" i="3"/>
  <c r="Q100" i="3" s="1"/>
  <c r="K83" i="3"/>
  <c r="G134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110" i="3"/>
  <c r="F109" i="3" s="1"/>
  <c r="F63" i="3"/>
  <c r="Q136" i="3"/>
  <c r="Q135" i="3" s="1"/>
  <c r="Q134" i="3" s="1"/>
  <c r="F128" i="3"/>
  <c r="Q63" i="3"/>
  <c r="Q99" i="3"/>
  <c r="Q97" i="3" s="1"/>
  <c r="Q116" i="3"/>
  <c r="Q125" i="3"/>
  <c r="H134" i="3"/>
  <c r="J134" i="3"/>
  <c r="L134" i="3"/>
  <c r="N134" i="3"/>
  <c r="P134" i="3"/>
  <c r="Q25" i="3"/>
  <c r="Q137" i="3"/>
  <c r="G52" i="3"/>
  <c r="G51" i="3" s="1"/>
  <c r="G13" i="3" s="1"/>
  <c r="Q53" i="3"/>
  <c r="Q21" i="3"/>
  <c r="Q20" i="3" s="1"/>
  <c r="Q19" i="3" s="1"/>
  <c r="Q17" i="3"/>
  <c r="Q18" i="3"/>
  <c r="Q75" i="3"/>
  <c r="Q76" i="3"/>
  <c r="F52" i="3"/>
  <c r="F51" i="3" s="1"/>
  <c r="K132" i="3"/>
  <c r="K131" i="3" s="1"/>
  <c r="K130" i="3" s="1"/>
  <c r="N106" i="3" l="1"/>
  <c r="N105" i="3" s="1"/>
  <c r="I106" i="3"/>
  <c r="I105" i="3" s="1"/>
  <c r="M13" i="3"/>
  <c r="M12" i="3" s="1"/>
  <c r="M144" i="3" s="1"/>
  <c r="M105" i="3"/>
  <c r="O106" i="3"/>
  <c r="O105" i="3" s="1"/>
  <c r="H105" i="3"/>
  <c r="H13" i="3" s="1"/>
  <c r="H12" i="3" s="1"/>
  <c r="H144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16" i="3" s="1"/>
  <c r="J42" i="3"/>
  <c r="J40" i="3" s="1"/>
  <c r="I16" i="3"/>
  <c r="I13" i="3" s="1"/>
  <c r="I12" i="3" s="1"/>
  <c r="I144" i="3" s="1"/>
  <c r="G12" i="3"/>
  <c r="G144" i="3" s="1"/>
  <c r="K44" i="3"/>
  <c r="K39" i="3" s="1"/>
  <c r="L16" i="3"/>
  <c r="L13" i="3" s="1"/>
  <c r="P37" i="3"/>
  <c r="P16" i="3" s="1"/>
  <c r="P13" i="3" s="1"/>
  <c r="F62" i="3"/>
  <c r="Q62" i="3"/>
  <c r="Q110" i="3"/>
  <c r="Q109" i="3" s="1"/>
  <c r="Q87" i="3"/>
  <c r="Q83" i="3" s="1"/>
  <c r="F19" i="3"/>
  <c r="F16" i="3" s="1"/>
  <c r="Q52" i="3"/>
  <c r="Q51" i="3" s="1"/>
  <c r="Q131" i="3"/>
  <c r="Q130" i="3" s="1"/>
  <c r="F13" i="3" l="1"/>
  <c r="O37" i="3"/>
  <c r="O16" i="3" s="1"/>
  <c r="Q44" i="3"/>
  <c r="N37" i="3"/>
  <c r="N16" i="3" s="1"/>
  <c r="N13" i="3" s="1"/>
  <c r="N12" i="3" s="1"/>
  <c r="N144" i="3" s="1"/>
  <c r="K40" i="3"/>
  <c r="Q40" i="3" s="1"/>
  <c r="O13" i="3"/>
  <c r="O12" i="3" s="1"/>
  <c r="O144" i="3" s="1"/>
  <c r="J13" i="3"/>
  <c r="J12" i="3" s="1"/>
  <c r="J144" i="3" s="1"/>
  <c r="P12" i="3"/>
  <c r="P144" i="3" s="1"/>
  <c r="L12" i="3"/>
  <c r="L144" i="3" s="1"/>
  <c r="K38" i="3"/>
  <c r="Q39" i="3"/>
  <c r="F12" i="3" l="1"/>
  <c r="F144" i="3" s="1"/>
  <c r="K37" i="3"/>
  <c r="Q38" i="3"/>
  <c r="G146" i="3" l="1"/>
  <c r="G150" i="3"/>
  <c r="Q37" i="3"/>
  <c r="K16" i="3" l="1"/>
  <c r="K13" i="3" s="1"/>
  <c r="Q16" i="3" l="1"/>
  <c r="Q13" i="3" s="1"/>
  <c r="K12" i="3"/>
  <c r="K144" i="3" s="1"/>
  <c r="M148" i="3" s="1"/>
  <c r="Q12" i="3" l="1"/>
  <c r="Q144" i="3" s="1"/>
</calcChain>
</file>

<file path=xl/sharedStrings.xml><?xml version="1.0" encoding="utf-8"?>
<sst xmlns="http://schemas.openxmlformats.org/spreadsheetml/2006/main" count="414" uniqueCount="247">
  <si>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</si>
  <si>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</si>
  <si>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</si>
  <si>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</si>
  <si>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</si>
  <si>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</si>
  <si>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</si>
  <si>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</si>
  <si>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</si>
  <si>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</si>
  <si>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</si>
  <si>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</si>
  <si>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</si>
  <si>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</si>
  <si>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</si>
  <si>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</si>
  <si>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</si>
  <si>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</si>
  <si>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</si>
  <si>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</si>
  <si>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</si>
  <si>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</si>
  <si>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</si>
  <si>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</si>
  <si>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</si>
  <si>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</si>
  <si>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</si>
  <si>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</si>
  <si>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</si>
  <si>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</si>
  <si>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</si>
  <si>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</si>
  <si>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</si>
  <si>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</si>
  <si>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</si>
  <si>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</si>
  <si>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</si>
  <si>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</si>
  <si>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</si>
  <si>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</si>
  <si>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</si>
  <si>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</si>
  <si>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</si>
  <si>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</si>
  <si>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</si>
  <si>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</si>
  <si>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</si>
  <si>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</si>
  <si>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</si>
  <si>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0217460</t>
  </si>
  <si>
    <t>Утримання та розвиток автомобільних доріг та дорожньої інфраструктури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</si>
  <si>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</si>
  <si>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</si>
  <si>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</si>
  <si>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</si>
  <si>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</si>
  <si>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</si>
  <si>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</si>
  <si>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</si>
  <si>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</si>
  <si>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</si>
  <si>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</si>
  <si>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</si>
  <si>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</si>
  <si>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</si>
  <si>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</si>
  <si>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</si>
  <si>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</si>
  <si>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</si>
  <si>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</si>
  <si>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</si>
  <si>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</si>
  <si>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</si>
  <si>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</si>
  <si>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</si>
  <si>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</si>
  <si>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</si>
  <si>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</si>
  <si>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</si>
  <si>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</si>
  <si>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7460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</si>
  <si>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</si>
  <si>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</si>
  <si>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</si>
  <si>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</si>
  <si>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</si>
  <si>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</si>
  <si>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</si>
  <si>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</si>
  <si>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</si>
  <si>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</si>
  <si>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</si>
  <si>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</si>
  <si>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</si>
  <si>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</si>
  <si>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</si>
  <si>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</si>
  <si>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</si>
  <si>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</si>
  <si>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</si>
  <si>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</si>
  <si>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</si>
  <si>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</si>
  <si>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</si>
  <si>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</si>
  <si>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</si>
  <si>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</si>
  <si>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</si>
  <si>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</si>
  <si>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</si>
  <si>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</si>
  <si>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</si>
  <si>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</si>
  <si>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</si>
  <si>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7400</t>
  </si>
  <si>
    <t>ТРАНСПОРТ ТА ТРАНСПОРТНА ІНФРАСТРУКТУРА, ДОРОЖНЄ ГОСПОДАРСТВО</t>
  </si>
  <si>
    <t>7600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</si>
  <si>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</si>
  <si>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</si>
  <si>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</si>
  <si>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</si>
  <si>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</si>
  <si>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</si>
  <si>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</si>
  <si>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</si>
  <si>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</si>
  <si>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</si>
  <si>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</si>
  <si>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</si>
  <si>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ІНШІ ПРОГРАМИ ТА ЗАХОДИ, ПОВ'ЯЗАНІ З ЕКОНОМІЧНОЮ ДІЯЛЬНІСТЮ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</si>
  <si>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</si>
  <si>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</si>
  <si>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</si>
  <si>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</si>
  <si>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</si>
  <si>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</si>
  <si>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</si>
  <si>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</si>
  <si>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</si>
  <si>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</si>
  <si>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</si>
  <si>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</si>
  <si>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</si>
  <si>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</si>
  <si>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</si>
  <si>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</si>
  <si>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</si>
  <si>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</si>
  <si>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</si>
  <si>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</si>
  <si>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</si>
  <si>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</si>
  <si>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</si>
  <si>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</si>
  <si>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</si>
  <si>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</si>
  <si>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</si>
  <si>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</si>
  <si>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</si>
  <si>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</si>
  <si>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</si>
  <si>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</si>
  <si>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</si>
  <si>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</si>
  <si>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</si>
  <si>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</si>
  <si>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</si>
  <si>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</si>
  <si>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</si>
  <si>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</si>
  <si>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</si>
  <si>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</si>
  <si>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</si>
  <si>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</si>
  <si>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</si>
  <si>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</si>
  <si>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7100</t>
  </si>
  <si>
    <t>Сільське, лісове, рибне господарство та мисливство</t>
  </si>
  <si>
    <t>7130</t>
  </si>
  <si>
    <t>0217130</t>
  </si>
  <si>
    <t>0421</t>
  </si>
  <si>
    <t>Здійснення заходів із землеустрою</t>
  </si>
  <si>
    <t>?????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</si>
  <si>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</si>
  <si>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</si>
  <si>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</si>
  <si>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</si>
  <si>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</si>
  <si>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</si>
  <si>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</si>
  <si>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</si>
  <si>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</si>
  <si>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</si>
  <si>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</si>
  <si>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</si>
  <si>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</si>
  <si>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</si>
  <si>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</si>
  <si>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</si>
  <si>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</si>
  <si>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</si>
  <si>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</si>
  <si>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</si>
  <si>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</si>
  <si>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</si>
  <si>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</si>
  <si>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</si>
  <si>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</si>
  <si>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</si>
  <si>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</si>
  <si>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</si>
  <si>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</si>
  <si>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</si>
  <si>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</si>
  <si>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</si>
  <si>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</si>
  <si>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</si>
  <si>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</si>
  <si>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</si>
  <si>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</si>
  <si>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</si>
  <si>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</si>
  <si>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</si>
  <si>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</si>
  <si>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</si>
  <si>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</si>
  <si>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</si>
  <si>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</si>
  <si>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</si>
  <si>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БУДІВНИЦТВО ТА РЕГІОНАЛЬНИЙ РОЗВИТОК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</si>
  <si>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</si>
  <si>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</si>
  <si>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</si>
  <si>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</si>
  <si>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</si>
  <si>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</si>
  <si>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</si>
  <si>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</si>
  <si>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</si>
  <si>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</si>
  <si>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</si>
  <si>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</si>
  <si>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0217622</t>
  </si>
  <si>
    <t>0470</t>
  </si>
  <si>
    <t>Реалізація програм і заходів в галузі туризму та курортівРеалізація програм і заходів в галузі туризму та курортів</t>
  </si>
  <si>
    <t>(в редакції рішення сільської ради від 27  серпня 2021 р.№ 18-3/VІІІ)</t>
  </si>
  <si>
    <t xml:space="preserve">рішення сільської  ради № 4-65/VІII від 22.12.2020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</si>
</sst>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0_ ;[Red]\-#,##0.00\ "/>
  </numFmts>
  <fonts count="3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76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4" fontId="21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4" fontId="20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/>
    <xf numFmtId="4" fontId="20" fillId="0" borderId="1" xfId="0" applyNumberFormat="1" applyFont="1" applyFill="1" applyBorder="1" applyAlignment="1" applyProtection="1">
      <alignment horizontal="right" vertical="top" wrapText="1"/>
    </xf>
    <xf numFmtId="4" fontId="20" fillId="0" borderId="3" xfId="0" applyNumberFormat="1" applyFont="1" applyFill="1" applyBorder="1" applyAlignment="1" applyProtection="1">
      <alignment horizontal="right" vertical="top" wrapText="1"/>
    </xf>
    <xf numFmtId="4" fontId="19" fillId="0" borderId="1" xfId="0" applyNumberFormat="1" applyFont="1" applyFill="1" applyBorder="1" applyAlignment="1" applyProtection="1">
      <alignment horizontal="right" vertical="top" wrapText="1"/>
    </xf>
    <xf numFmtId="4" fontId="19" fillId="0" borderId="4" xfId="0" applyNumberFormat="1" applyFont="1" applyFill="1" applyBorder="1" applyAlignment="1" applyProtection="1">
      <alignment horizontal="right" vertical="top" wrapText="1"/>
    </xf>
    <xf numFmtId="164" fontId="20" fillId="0" borderId="0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4" fontId="21" fillId="7" borderId="1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/>
    <xf numFmtId="4" fontId="30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3" fillId="4" borderId="0" xfId="0" applyNumberFormat="1" applyFont="1" applyFill="1"/>
    <xf numFmtId="4" fontId="29" fillId="0" borderId="4" xfId="0" applyNumberFormat="1" applyFont="1" applyBorder="1" applyAlignment="1" applyProtection="1">
      <alignment horizontal="right" vertical="center" wrapText="1"/>
    </xf>
    <xf numFmtId="4" fontId="21" fillId="7" borderId="4" xfId="0" applyNumberFormat="1" applyFont="1" applyFill="1" applyBorder="1" applyAlignment="1" applyProtection="1">
      <alignment horizontal="right" vertical="top" wrapText="1"/>
    </xf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left" vertical="top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30" fillId="2" borderId="3" xfId="0" applyNumberFormat="1" applyFont="1" applyFill="1" applyBorder="1" applyAlignment="1" applyProtection="1">
      <alignment horizontal="right" vertical="top" wrapText="1"/>
    </xf>
    <xf numFmtId="0" fontId="30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2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left" vertical="top" wrapText="1"/>
    </xf>
    <xf numFmtId="4" fontId="32" fillId="0" borderId="3" xfId="0" applyNumberFormat="1" applyFont="1" applyFill="1" applyBorder="1" applyAlignment="1" applyProtection="1">
      <alignment horizontal="righ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49" fontId="31" fillId="0" borderId="3" xfId="0" applyNumberFormat="1" applyFont="1" applyFill="1" applyBorder="1" applyAlignment="1" applyProtection="1">
      <alignment horizontal="left" vertical="top" wrapText="1"/>
    </xf>
    <xf numFmtId="4" fontId="31" fillId="6" borderId="3" xfId="0" applyNumberFormat="1" applyFont="1" applyFill="1" applyBorder="1" applyAlignment="1" applyProtection="1">
      <alignment horizontal="right" vertical="top" wrapText="1"/>
    </xf>
    <xf numFmtId="4" fontId="31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165" fontId="35" fillId="4" borderId="0" xfId="0" applyNumberFormat="1" applyFont="1" applyFill="1"/>
    <xf numFmtId="165" fontId="34" fillId="4" borderId="0" xfId="0" applyNumberFormat="1" applyFont="1" applyFill="1"/>
    <xf numFmtId="4" fontId="36" fillId="4" borderId="0" xfId="0" applyNumberFormat="1" applyFont="1" applyFill="1"/>
    <xf numFmtId="0" fontId="36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49" fontId="14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3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2" fontId="17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abSelected="1" view="pageBreakPreview" topLeftCell="B140" zoomScale="120" zoomScaleNormal="120" zoomScaleSheetLayoutView="120" workbookViewId="0">
      <selection activeCell="I100" sqref="I100"/>
    </sheetView>
  </sheetViews>
  <sheetFormatPr defaultRowHeight="15"/>
  <cols>
    <col min="1" max="1" width="8.85546875" style="2" hidden="1" customWidth="1"/>
    <col min="2" max="2" width="8.42578125" style="2" customWidth="1"/>
    <col min="3" max="3" width="8.28515625" style="2" customWidth="1"/>
    <col min="4" max="4" width="8.710937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1.42578125" style="4" bestFit="1" customWidth="1"/>
    <col min="18" max="19" width="8.85546875" style="2" hidden="1" customWidth="1"/>
    <col min="20" max="20" width="15.42578125" style="2" customWidth="1"/>
    <col min="21" max="256" width="9.140625" style="2"/>
    <col min="257" max="257" width="0" style="2" hidden="1" customWidth="1"/>
    <col min="258" max="258" width="6.5703125" style="2" customWidth="1"/>
    <col min="259" max="259" width="0" style="2" hidden="1" customWidth="1"/>
    <col min="260" max="260" width="6.5703125" style="2" customWidth="1"/>
    <col min="261" max="261" width="28.5703125" style="2" customWidth="1"/>
    <col min="262" max="262" width="8" style="2" customWidth="1"/>
    <col min="263" max="263" width="7.7109375" style="2" customWidth="1"/>
    <col min="264" max="264" width="8" style="2" customWidth="1"/>
    <col min="265" max="272" width="7" style="2" customWidth="1"/>
    <col min="273" max="273" width="9.140625" style="2"/>
    <col min="274" max="275" width="0" style="2" hidden="1" customWidth="1"/>
    <col min="276" max="512" width="9.140625" style="2"/>
    <col min="513" max="513" width="0" style="2" hidden="1" customWidth="1"/>
    <col min="514" max="514" width="6.5703125" style="2" customWidth="1"/>
    <col min="515" max="515" width="0" style="2" hidden="1" customWidth="1"/>
    <col min="516" max="516" width="6.5703125" style="2" customWidth="1"/>
    <col min="517" max="517" width="28.5703125" style="2" customWidth="1"/>
    <col min="518" max="518" width="8" style="2" customWidth="1"/>
    <col min="519" max="519" width="7.7109375" style="2" customWidth="1"/>
    <col min="520" max="520" width="8" style="2" customWidth="1"/>
    <col min="521" max="528" width="7" style="2" customWidth="1"/>
    <col min="529" max="529" width="9.140625" style="2"/>
    <col min="530" max="531" width="0" style="2" hidden="1" customWidth="1"/>
    <col min="532" max="768" width="9.140625" style="2"/>
    <col min="769" max="769" width="0" style="2" hidden="1" customWidth="1"/>
    <col min="770" max="770" width="6.5703125" style="2" customWidth="1"/>
    <col min="771" max="771" width="0" style="2" hidden="1" customWidth="1"/>
    <col min="772" max="772" width="6.5703125" style="2" customWidth="1"/>
    <col min="773" max="773" width="28.5703125" style="2" customWidth="1"/>
    <col min="774" max="774" width="8" style="2" customWidth="1"/>
    <col min="775" max="775" width="7.7109375" style="2" customWidth="1"/>
    <col min="776" max="776" width="8" style="2" customWidth="1"/>
    <col min="777" max="784" width="7" style="2" customWidth="1"/>
    <col min="785" max="785" width="9.140625" style="2"/>
    <col min="786" max="787" width="0" style="2" hidden="1" customWidth="1"/>
    <col min="788" max="1024" width="9.140625" style="2"/>
    <col min="1025" max="1025" width="0" style="2" hidden="1" customWidth="1"/>
    <col min="1026" max="1026" width="6.5703125" style="2" customWidth="1"/>
    <col min="1027" max="1027" width="0" style="2" hidden="1" customWidth="1"/>
    <col min="1028" max="1028" width="6.5703125" style="2" customWidth="1"/>
    <col min="1029" max="1029" width="28.5703125" style="2" customWidth="1"/>
    <col min="1030" max="1030" width="8" style="2" customWidth="1"/>
    <col min="1031" max="1031" width="7.7109375" style="2" customWidth="1"/>
    <col min="1032" max="1032" width="8" style="2" customWidth="1"/>
    <col min="1033" max="1040" width="7" style="2" customWidth="1"/>
    <col min="1041" max="1041" width="9.140625" style="2"/>
    <col min="1042" max="1043" width="0" style="2" hidden="1" customWidth="1"/>
    <col min="1044" max="1280" width="9.140625" style="2"/>
    <col min="1281" max="1281" width="0" style="2" hidden="1" customWidth="1"/>
    <col min="1282" max="1282" width="6.5703125" style="2" customWidth="1"/>
    <col min="1283" max="1283" width="0" style="2" hidden="1" customWidth="1"/>
    <col min="1284" max="1284" width="6.5703125" style="2" customWidth="1"/>
    <col min="1285" max="1285" width="28.5703125" style="2" customWidth="1"/>
    <col min="1286" max="1286" width="8" style="2" customWidth="1"/>
    <col min="1287" max="1287" width="7.7109375" style="2" customWidth="1"/>
    <col min="1288" max="1288" width="8" style="2" customWidth="1"/>
    <col min="1289" max="1296" width="7" style="2" customWidth="1"/>
    <col min="1297" max="1297" width="9.140625" style="2"/>
    <col min="1298" max="1299" width="0" style="2" hidden="1" customWidth="1"/>
    <col min="1300" max="1536" width="9.140625" style="2"/>
    <col min="1537" max="1537" width="0" style="2" hidden="1" customWidth="1"/>
    <col min="1538" max="1538" width="6.5703125" style="2" customWidth="1"/>
    <col min="1539" max="1539" width="0" style="2" hidden="1" customWidth="1"/>
    <col min="1540" max="1540" width="6.5703125" style="2" customWidth="1"/>
    <col min="1541" max="1541" width="28.5703125" style="2" customWidth="1"/>
    <col min="1542" max="1542" width="8" style="2" customWidth="1"/>
    <col min="1543" max="1543" width="7.7109375" style="2" customWidth="1"/>
    <col min="1544" max="1544" width="8" style="2" customWidth="1"/>
    <col min="1545" max="1552" width="7" style="2" customWidth="1"/>
    <col min="1553" max="1553" width="9.140625" style="2"/>
    <col min="1554" max="1555" width="0" style="2" hidden="1" customWidth="1"/>
    <col min="1556" max="1792" width="9.140625" style="2"/>
    <col min="1793" max="1793" width="0" style="2" hidden="1" customWidth="1"/>
    <col min="1794" max="1794" width="6.5703125" style="2" customWidth="1"/>
    <col min="1795" max="1795" width="0" style="2" hidden="1" customWidth="1"/>
    <col min="1796" max="1796" width="6.5703125" style="2" customWidth="1"/>
    <col min="1797" max="1797" width="28.5703125" style="2" customWidth="1"/>
    <col min="1798" max="1798" width="8" style="2" customWidth="1"/>
    <col min="1799" max="1799" width="7.7109375" style="2" customWidth="1"/>
    <col min="1800" max="1800" width="8" style="2" customWidth="1"/>
    <col min="1801" max="1808" width="7" style="2" customWidth="1"/>
    <col min="1809" max="1809" width="9.140625" style="2"/>
    <col min="1810" max="1811" width="0" style="2" hidden="1" customWidth="1"/>
    <col min="1812" max="2048" width="9.140625" style="2"/>
    <col min="2049" max="2049" width="0" style="2" hidden="1" customWidth="1"/>
    <col min="2050" max="2050" width="6.5703125" style="2" customWidth="1"/>
    <col min="2051" max="2051" width="0" style="2" hidden="1" customWidth="1"/>
    <col min="2052" max="2052" width="6.5703125" style="2" customWidth="1"/>
    <col min="2053" max="2053" width="28.5703125" style="2" customWidth="1"/>
    <col min="2054" max="2054" width="8" style="2" customWidth="1"/>
    <col min="2055" max="2055" width="7.7109375" style="2" customWidth="1"/>
    <col min="2056" max="2056" width="8" style="2" customWidth="1"/>
    <col min="2057" max="2064" width="7" style="2" customWidth="1"/>
    <col min="2065" max="2065" width="9.140625" style="2"/>
    <col min="2066" max="2067" width="0" style="2" hidden="1" customWidth="1"/>
    <col min="2068" max="2304" width="9.140625" style="2"/>
    <col min="2305" max="2305" width="0" style="2" hidden="1" customWidth="1"/>
    <col min="2306" max="2306" width="6.5703125" style="2" customWidth="1"/>
    <col min="2307" max="2307" width="0" style="2" hidden="1" customWidth="1"/>
    <col min="2308" max="2308" width="6.5703125" style="2" customWidth="1"/>
    <col min="2309" max="2309" width="28.5703125" style="2" customWidth="1"/>
    <col min="2310" max="2310" width="8" style="2" customWidth="1"/>
    <col min="2311" max="2311" width="7.7109375" style="2" customWidth="1"/>
    <col min="2312" max="2312" width="8" style="2" customWidth="1"/>
    <col min="2313" max="2320" width="7" style="2" customWidth="1"/>
    <col min="2321" max="2321" width="9.140625" style="2"/>
    <col min="2322" max="2323" width="0" style="2" hidden="1" customWidth="1"/>
    <col min="2324" max="2560" width="9.140625" style="2"/>
    <col min="2561" max="2561" width="0" style="2" hidden="1" customWidth="1"/>
    <col min="2562" max="2562" width="6.5703125" style="2" customWidth="1"/>
    <col min="2563" max="2563" width="0" style="2" hidden="1" customWidth="1"/>
    <col min="2564" max="2564" width="6.5703125" style="2" customWidth="1"/>
    <col min="2565" max="2565" width="28.5703125" style="2" customWidth="1"/>
    <col min="2566" max="2566" width="8" style="2" customWidth="1"/>
    <col min="2567" max="2567" width="7.7109375" style="2" customWidth="1"/>
    <col min="2568" max="2568" width="8" style="2" customWidth="1"/>
    <col min="2569" max="2576" width="7" style="2" customWidth="1"/>
    <col min="2577" max="2577" width="9.140625" style="2"/>
    <col min="2578" max="2579" width="0" style="2" hidden="1" customWidth="1"/>
    <col min="2580" max="2816" width="9.140625" style="2"/>
    <col min="2817" max="2817" width="0" style="2" hidden="1" customWidth="1"/>
    <col min="2818" max="2818" width="6.5703125" style="2" customWidth="1"/>
    <col min="2819" max="2819" width="0" style="2" hidden="1" customWidth="1"/>
    <col min="2820" max="2820" width="6.5703125" style="2" customWidth="1"/>
    <col min="2821" max="2821" width="28.5703125" style="2" customWidth="1"/>
    <col min="2822" max="2822" width="8" style="2" customWidth="1"/>
    <col min="2823" max="2823" width="7.7109375" style="2" customWidth="1"/>
    <col min="2824" max="2824" width="8" style="2" customWidth="1"/>
    <col min="2825" max="2832" width="7" style="2" customWidth="1"/>
    <col min="2833" max="2833" width="9.140625" style="2"/>
    <col min="2834" max="2835" width="0" style="2" hidden="1" customWidth="1"/>
    <col min="2836" max="3072" width="9.140625" style="2"/>
    <col min="3073" max="3073" width="0" style="2" hidden="1" customWidth="1"/>
    <col min="3074" max="3074" width="6.5703125" style="2" customWidth="1"/>
    <col min="3075" max="3075" width="0" style="2" hidden="1" customWidth="1"/>
    <col min="3076" max="3076" width="6.5703125" style="2" customWidth="1"/>
    <col min="3077" max="3077" width="28.5703125" style="2" customWidth="1"/>
    <col min="3078" max="3078" width="8" style="2" customWidth="1"/>
    <col min="3079" max="3079" width="7.7109375" style="2" customWidth="1"/>
    <col min="3080" max="3080" width="8" style="2" customWidth="1"/>
    <col min="3081" max="3088" width="7" style="2" customWidth="1"/>
    <col min="3089" max="3089" width="9.140625" style="2"/>
    <col min="3090" max="3091" width="0" style="2" hidden="1" customWidth="1"/>
    <col min="3092" max="3328" width="9.140625" style="2"/>
    <col min="3329" max="3329" width="0" style="2" hidden="1" customWidth="1"/>
    <col min="3330" max="3330" width="6.5703125" style="2" customWidth="1"/>
    <col min="3331" max="3331" width="0" style="2" hidden="1" customWidth="1"/>
    <col min="3332" max="3332" width="6.5703125" style="2" customWidth="1"/>
    <col min="3333" max="3333" width="28.5703125" style="2" customWidth="1"/>
    <col min="3334" max="3334" width="8" style="2" customWidth="1"/>
    <col min="3335" max="3335" width="7.7109375" style="2" customWidth="1"/>
    <col min="3336" max="3336" width="8" style="2" customWidth="1"/>
    <col min="3337" max="3344" width="7" style="2" customWidth="1"/>
    <col min="3345" max="3345" width="9.140625" style="2"/>
    <col min="3346" max="3347" width="0" style="2" hidden="1" customWidth="1"/>
    <col min="3348" max="3584" width="9.140625" style="2"/>
    <col min="3585" max="3585" width="0" style="2" hidden="1" customWidth="1"/>
    <col min="3586" max="3586" width="6.5703125" style="2" customWidth="1"/>
    <col min="3587" max="3587" width="0" style="2" hidden="1" customWidth="1"/>
    <col min="3588" max="3588" width="6.5703125" style="2" customWidth="1"/>
    <col min="3589" max="3589" width="28.5703125" style="2" customWidth="1"/>
    <col min="3590" max="3590" width="8" style="2" customWidth="1"/>
    <col min="3591" max="3591" width="7.7109375" style="2" customWidth="1"/>
    <col min="3592" max="3592" width="8" style="2" customWidth="1"/>
    <col min="3593" max="3600" width="7" style="2" customWidth="1"/>
    <col min="3601" max="3601" width="9.140625" style="2"/>
    <col min="3602" max="3603" width="0" style="2" hidden="1" customWidth="1"/>
    <col min="3604" max="3840" width="9.140625" style="2"/>
    <col min="3841" max="3841" width="0" style="2" hidden="1" customWidth="1"/>
    <col min="3842" max="3842" width="6.5703125" style="2" customWidth="1"/>
    <col min="3843" max="3843" width="0" style="2" hidden="1" customWidth="1"/>
    <col min="3844" max="3844" width="6.5703125" style="2" customWidth="1"/>
    <col min="3845" max="3845" width="28.5703125" style="2" customWidth="1"/>
    <col min="3846" max="3846" width="8" style="2" customWidth="1"/>
    <col min="3847" max="3847" width="7.7109375" style="2" customWidth="1"/>
    <col min="3848" max="3848" width="8" style="2" customWidth="1"/>
    <col min="3849" max="3856" width="7" style="2" customWidth="1"/>
    <col min="3857" max="3857" width="9.140625" style="2"/>
    <col min="3858" max="3859" width="0" style="2" hidden="1" customWidth="1"/>
    <col min="3860" max="4096" width="9.140625" style="2"/>
    <col min="4097" max="4097" width="0" style="2" hidden="1" customWidth="1"/>
    <col min="4098" max="4098" width="6.5703125" style="2" customWidth="1"/>
    <col min="4099" max="4099" width="0" style="2" hidden="1" customWidth="1"/>
    <col min="4100" max="4100" width="6.5703125" style="2" customWidth="1"/>
    <col min="4101" max="4101" width="28.5703125" style="2" customWidth="1"/>
    <col min="4102" max="4102" width="8" style="2" customWidth="1"/>
    <col min="4103" max="4103" width="7.7109375" style="2" customWidth="1"/>
    <col min="4104" max="4104" width="8" style="2" customWidth="1"/>
    <col min="4105" max="4112" width="7" style="2" customWidth="1"/>
    <col min="4113" max="4113" width="9.140625" style="2"/>
    <col min="4114" max="4115" width="0" style="2" hidden="1" customWidth="1"/>
    <col min="4116" max="4352" width="9.140625" style="2"/>
    <col min="4353" max="4353" width="0" style="2" hidden="1" customWidth="1"/>
    <col min="4354" max="4354" width="6.5703125" style="2" customWidth="1"/>
    <col min="4355" max="4355" width="0" style="2" hidden="1" customWidth="1"/>
    <col min="4356" max="4356" width="6.5703125" style="2" customWidth="1"/>
    <col min="4357" max="4357" width="28.5703125" style="2" customWidth="1"/>
    <col min="4358" max="4358" width="8" style="2" customWidth="1"/>
    <col min="4359" max="4359" width="7.7109375" style="2" customWidth="1"/>
    <col min="4360" max="4360" width="8" style="2" customWidth="1"/>
    <col min="4361" max="4368" width="7" style="2" customWidth="1"/>
    <col min="4369" max="4369" width="9.140625" style="2"/>
    <col min="4370" max="4371" width="0" style="2" hidden="1" customWidth="1"/>
    <col min="4372" max="4608" width="9.140625" style="2"/>
    <col min="4609" max="4609" width="0" style="2" hidden="1" customWidth="1"/>
    <col min="4610" max="4610" width="6.5703125" style="2" customWidth="1"/>
    <col min="4611" max="4611" width="0" style="2" hidden="1" customWidth="1"/>
    <col min="4612" max="4612" width="6.5703125" style="2" customWidth="1"/>
    <col min="4613" max="4613" width="28.5703125" style="2" customWidth="1"/>
    <col min="4614" max="4614" width="8" style="2" customWidth="1"/>
    <col min="4615" max="4615" width="7.7109375" style="2" customWidth="1"/>
    <col min="4616" max="4616" width="8" style="2" customWidth="1"/>
    <col min="4617" max="4624" width="7" style="2" customWidth="1"/>
    <col min="4625" max="4625" width="9.140625" style="2"/>
    <col min="4626" max="4627" width="0" style="2" hidden="1" customWidth="1"/>
    <col min="4628" max="4864" width="9.140625" style="2"/>
    <col min="4865" max="4865" width="0" style="2" hidden="1" customWidth="1"/>
    <col min="4866" max="4866" width="6.5703125" style="2" customWidth="1"/>
    <col min="4867" max="4867" width="0" style="2" hidden="1" customWidth="1"/>
    <col min="4868" max="4868" width="6.5703125" style="2" customWidth="1"/>
    <col min="4869" max="4869" width="28.5703125" style="2" customWidth="1"/>
    <col min="4870" max="4870" width="8" style="2" customWidth="1"/>
    <col min="4871" max="4871" width="7.7109375" style="2" customWidth="1"/>
    <col min="4872" max="4872" width="8" style="2" customWidth="1"/>
    <col min="4873" max="4880" width="7" style="2" customWidth="1"/>
    <col min="4881" max="4881" width="9.140625" style="2"/>
    <col min="4882" max="4883" width="0" style="2" hidden="1" customWidth="1"/>
    <col min="4884" max="5120" width="9.140625" style="2"/>
    <col min="5121" max="5121" width="0" style="2" hidden="1" customWidth="1"/>
    <col min="5122" max="5122" width="6.5703125" style="2" customWidth="1"/>
    <col min="5123" max="5123" width="0" style="2" hidden="1" customWidth="1"/>
    <col min="5124" max="5124" width="6.5703125" style="2" customWidth="1"/>
    <col min="5125" max="5125" width="28.5703125" style="2" customWidth="1"/>
    <col min="5126" max="5126" width="8" style="2" customWidth="1"/>
    <col min="5127" max="5127" width="7.7109375" style="2" customWidth="1"/>
    <col min="5128" max="5128" width="8" style="2" customWidth="1"/>
    <col min="5129" max="5136" width="7" style="2" customWidth="1"/>
    <col min="5137" max="5137" width="9.140625" style="2"/>
    <col min="5138" max="5139" width="0" style="2" hidden="1" customWidth="1"/>
    <col min="5140" max="5376" width="9.140625" style="2"/>
    <col min="5377" max="5377" width="0" style="2" hidden="1" customWidth="1"/>
    <col min="5378" max="5378" width="6.5703125" style="2" customWidth="1"/>
    <col min="5379" max="5379" width="0" style="2" hidden="1" customWidth="1"/>
    <col min="5380" max="5380" width="6.5703125" style="2" customWidth="1"/>
    <col min="5381" max="5381" width="28.5703125" style="2" customWidth="1"/>
    <col min="5382" max="5382" width="8" style="2" customWidth="1"/>
    <col min="5383" max="5383" width="7.7109375" style="2" customWidth="1"/>
    <col min="5384" max="5384" width="8" style="2" customWidth="1"/>
    <col min="5385" max="5392" width="7" style="2" customWidth="1"/>
    <col min="5393" max="5393" width="9.140625" style="2"/>
    <col min="5394" max="5395" width="0" style="2" hidden="1" customWidth="1"/>
    <col min="5396" max="5632" width="9.140625" style="2"/>
    <col min="5633" max="5633" width="0" style="2" hidden="1" customWidth="1"/>
    <col min="5634" max="5634" width="6.5703125" style="2" customWidth="1"/>
    <col min="5635" max="5635" width="0" style="2" hidden="1" customWidth="1"/>
    <col min="5636" max="5636" width="6.5703125" style="2" customWidth="1"/>
    <col min="5637" max="5637" width="28.5703125" style="2" customWidth="1"/>
    <col min="5638" max="5638" width="8" style="2" customWidth="1"/>
    <col min="5639" max="5639" width="7.7109375" style="2" customWidth="1"/>
    <col min="5640" max="5640" width="8" style="2" customWidth="1"/>
    <col min="5641" max="5648" width="7" style="2" customWidth="1"/>
    <col min="5649" max="5649" width="9.140625" style="2"/>
    <col min="5650" max="5651" width="0" style="2" hidden="1" customWidth="1"/>
    <col min="5652" max="5888" width="9.140625" style="2"/>
    <col min="5889" max="5889" width="0" style="2" hidden="1" customWidth="1"/>
    <col min="5890" max="5890" width="6.5703125" style="2" customWidth="1"/>
    <col min="5891" max="5891" width="0" style="2" hidden="1" customWidth="1"/>
    <col min="5892" max="5892" width="6.5703125" style="2" customWidth="1"/>
    <col min="5893" max="5893" width="28.5703125" style="2" customWidth="1"/>
    <col min="5894" max="5894" width="8" style="2" customWidth="1"/>
    <col min="5895" max="5895" width="7.7109375" style="2" customWidth="1"/>
    <col min="5896" max="5896" width="8" style="2" customWidth="1"/>
    <col min="5897" max="5904" width="7" style="2" customWidth="1"/>
    <col min="5905" max="5905" width="9.140625" style="2"/>
    <col min="5906" max="5907" width="0" style="2" hidden="1" customWidth="1"/>
    <col min="5908" max="6144" width="9.140625" style="2"/>
    <col min="6145" max="6145" width="0" style="2" hidden="1" customWidth="1"/>
    <col min="6146" max="6146" width="6.5703125" style="2" customWidth="1"/>
    <col min="6147" max="6147" width="0" style="2" hidden="1" customWidth="1"/>
    <col min="6148" max="6148" width="6.5703125" style="2" customWidth="1"/>
    <col min="6149" max="6149" width="28.5703125" style="2" customWidth="1"/>
    <col min="6150" max="6150" width="8" style="2" customWidth="1"/>
    <col min="6151" max="6151" width="7.7109375" style="2" customWidth="1"/>
    <col min="6152" max="6152" width="8" style="2" customWidth="1"/>
    <col min="6153" max="6160" width="7" style="2" customWidth="1"/>
    <col min="6161" max="6161" width="9.140625" style="2"/>
    <col min="6162" max="6163" width="0" style="2" hidden="1" customWidth="1"/>
    <col min="6164" max="6400" width="9.140625" style="2"/>
    <col min="6401" max="6401" width="0" style="2" hidden="1" customWidth="1"/>
    <col min="6402" max="6402" width="6.5703125" style="2" customWidth="1"/>
    <col min="6403" max="6403" width="0" style="2" hidden="1" customWidth="1"/>
    <col min="6404" max="6404" width="6.5703125" style="2" customWidth="1"/>
    <col min="6405" max="6405" width="28.5703125" style="2" customWidth="1"/>
    <col min="6406" max="6406" width="8" style="2" customWidth="1"/>
    <col min="6407" max="6407" width="7.7109375" style="2" customWidth="1"/>
    <col min="6408" max="6408" width="8" style="2" customWidth="1"/>
    <col min="6409" max="6416" width="7" style="2" customWidth="1"/>
    <col min="6417" max="6417" width="9.140625" style="2"/>
    <col min="6418" max="6419" width="0" style="2" hidden="1" customWidth="1"/>
    <col min="6420" max="6656" width="9.140625" style="2"/>
    <col min="6657" max="6657" width="0" style="2" hidden="1" customWidth="1"/>
    <col min="6658" max="6658" width="6.5703125" style="2" customWidth="1"/>
    <col min="6659" max="6659" width="0" style="2" hidden="1" customWidth="1"/>
    <col min="6660" max="6660" width="6.5703125" style="2" customWidth="1"/>
    <col min="6661" max="6661" width="28.5703125" style="2" customWidth="1"/>
    <col min="6662" max="6662" width="8" style="2" customWidth="1"/>
    <col min="6663" max="6663" width="7.7109375" style="2" customWidth="1"/>
    <col min="6664" max="6664" width="8" style="2" customWidth="1"/>
    <col min="6665" max="6672" width="7" style="2" customWidth="1"/>
    <col min="6673" max="6673" width="9.140625" style="2"/>
    <col min="6674" max="6675" width="0" style="2" hidden="1" customWidth="1"/>
    <col min="6676" max="6912" width="9.140625" style="2"/>
    <col min="6913" max="6913" width="0" style="2" hidden="1" customWidth="1"/>
    <col min="6914" max="6914" width="6.5703125" style="2" customWidth="1"/>
    <col min="6915" max="6915" width="0" style="2" hidden="1" customWidth="1"/>
    <col min="6916" max="6916" width="6.5703125" style="2" customWidth="1"/>
    <col min="6917" max="6917" width="28.5703125" style="2" customWidth="1"/>
    <col min="6918" max="6918" width="8" style="2" customWidth="1"/>
    <col min="6919" max="6919" width="7.7109375" style="2" customWidth="1"/>
    <col min="6920" max="6920" width="8" style="2" customWidth="1"/>
    <col min="6921" max="6928" width="7" style="2" customWidth="1"/>
    <col min="6929" max="6929" width="9.140625" style="2"/>
    <col min="6930" max="6931" width="0" style="2" hidden="1" customWidth="1"/>
    <col min="6932" max="7168" width="9.140625" style="2"/>
    <col min="7169" max="7169" width="0" style="2" hidden="1" customWidth="1"/>
    <col min="7170" max="7170" width="6.5703125" style="2" customWidth="1"/>
    <col min="7171" max="7171" width="0" style="2" hidden="1" customWidth="1"/>
    <col min="7172" max="7172" width="6.5703125" style="2" customWidth="1"/>
    <col min="7173" max="7173" width="28.5703125" style="2" customWidth="1"/>
    <col min="7174" max="7174" width="8" style="2" customWidth="1"/>
    <col min="7175" max="7175" width="7.7109375" style="2" customWidth="1"/>
    <col min="7176" max="7176" width="8" style="2" customWidth="1"/>
    <col min="7177" max="7184" width="7" style="2" customWidth="1"/>
    <col min="7185" max="7185" width="9.140625" style="2"/>
    <col min="7186" max="7187" width="0" style="2" hidden="1" customWidth="1"/>
    <col min="7188" max="7424" width="9.140625" style="2"/>
    <col min="7425" max="7425" width="0" style="2" hidden="1" customWidth="1"/>
    <col min="7426" max="7426" width="6.5703125" style="2" customWidth="1"/>
    <col min="7427" max="7427" width="0" style="2" hidden="1" customWidth="1"/>
    <col min="7428" max="7428" width="6.5703125" style="2" customWidth="1"/>
    <col min="7429" max="7429" width="28.5703125" style="2" customWidth="1"/>
    <col min="7430" max="7430" width="8" style="2" customWidth="1"/>
    <col min="7431" max="7431" width="7.7109375" style="2" customWidth="1"/>
    <col min="7432" max="7432" width="8" style="2" customWidth="1"/>
    <col min="7433" max="7440" width="7" style="2" customWidth="1"/>
    <col min="7441" max="7441" width="9.140625" style="2"/>
    <col min="7442" max="7443" width="0" style="2" hidden="1" customWidth="1"/>
    <col min="7444" max="7680" width="9.140625" style="2"/>
    <col min="7681" max="7681" width="0" style="2" hidden="1" customWidth="1"/>
    <col min="7682" max="7682" width="6.5703125" style="2" customWidth="1"/>
    <col min="7683" max="7683" width="0" style="2" hidden="1" customWidth="1"/>
    <col min="7684" max="7684" width="6.5703125" style="2" customWidth="1"/>
    <col min="7685" max="7685" width="28.5703125" style="2" customWidth="1"/>
    <col min="7686" max="7686" width="8" style="2" customWidth="1"/>
    <col min="7687" max="7687" width="7.7109375" style="2" customWidth="1"/>
    <col min="7688" max="7688" width="8" style="2" customWidth="1"/>
    <col min="7689" max="7696" width="7" style="2" customWidth="1"/>
    <col min="7697" max="7697" width="9.140625" style="2"/>
    <col min="7698" max="7699" width="0" style="2" hidden="1" customWidth="1"/>
    <col min="7700" max="7936" width="9.140625" style="2"/>
    <col min="7937" max="7937" width="0" style="2" hidden="1" customWidth="1"/>
    <col min="7938" max="7938" width="6.5703125" style="2" customWidth="1"/>
    <col min="7939" max="7939" width="0" style="2" hidden="1" customWidth="1"/>
    <col min="7940" max="7940" width="6.5703125" style="2" customWidth="1"/>
    <col min="7941" max="7941" width="28.5703125" style="2" customWidth="1"/>
    <col min="7942" max="7942" width="8" style="2" customWidth="1"/>
    <col min="7943" max="7943" width="7.7109375" style="2" customWidth="1"/>
    <col min="7944" max="7944" width="8" style="2" customWidth="1"/>
    <col min="7945" max="7952" width="7" style="2" customWidth="1"/>
    <col min="7953" max="7953" width="9.140625" style="2"/>
    <col min="7954" max="7955" width="0" style="2" hidden="1" customWidth="1"/>
    <col min="7956" max="8192" width="9.140625" style="2"/>
    <col min="8193" max="8193" width="0" style="2" hidden="1" customWidth="1"/>
    <col min="8194" max="8194" width="6.5703125" style="2" customWidth="1"/>
    <col min="8195" max="8195" width="0" style="2" hidden="1" customWidth="1"/>
    <col min="8196" max="8196" width="6.5703125" style="2" customWidth="1"/>
    <col min="8197" max="8197" width="28.5703125" style="2" customWidth="1"/>
    <col min="8198" max="8198" width="8" style="2" customWidth="1"/>
    <col min="8199" max="8199" width="7.7109375" style="2" customWidth="1"/>
    <col min="8200" max="8200" width="8" style="2" customWidth="1"/>
    <col min="8201" max="8208" width="7" style="2" customWidth="1"/>
    <col min="8209" max="8209" width="9.140625" style="2"/>
    <col min="8210" max="8211" width="0" style="2" hidden="1" customWidth="1"/>
    <col min="8212" max="8448" width="9.140625" style="2"/>
    <col min="8449" max="8449" width="0" style="2" hidden="1" customWidth="1"/>
    <col min="8450" max="8450" width="6.5703125" style="2" customWidth="1"/>
    <col min="8451" max="8451" width="0" style="2" hidden="1" customWidth="1"/>
    <col min="8452" max="8452" width="6.5703125" style="2" customWidth="1"/>
    <col min="8453" max="8453" width="28.5703125" style="2" customWidth="1"/>
    <col min="8454" max="8454" width="8" style="2" customWidth="1"/>
    <col min="8455" max="8455" width="7.7109375" style="2" customWidth="1"/>
    <col min="8456" max="8456" width="8" style="2" customWidth="1"/>
    <col min="8457" max="8464" width="7" style="2" customWidth="1"/>
    <col min="8465" max="8465" width="9.140625" style="2"/>
    <col min="8466" max="8467" width="0" style="2" hidden="1" customWidth="1"/>
    <col min="8468" max="8704" width="9.140625" style="2"/>
    <col min="8705" max="8705" width="0" style="2" hidden="1" customWidth="1"/>
    <col min="8706" max="8706" width="6.5703125" style="2" customWidth="1"/>
    <col min="8707" max="8707" width="0" style="2" hidden="1" customWidth="1"/>
    <col min="8708" max="8708" width="6.5703125" style="2" customWidth="1"/>
    <col min="8709" max="8709" width="28.5703125" style="2" customWidth="1"/>
    <col min="8710" max="8710" width="8" style="2" customWidth="1"/>
    <col min="8711" max="8711" width="7.7109375" style="2" customWidth="1"/>
    <col min="8712" max="8712" width="8" style="2" customWidth="1"/>
    <col min="8713" max="8720" width="7" style="2" customWidth="1"/>
    <col min="8721" max="8721" width="9.140625" style="2"/>
    <col min="8722" max="8723" width="0" style="2" hidden="1" customWidth="1"/>
    <col min="8724" max="8960" width="9.140625" style="2"/>
    <col min="8961" max="8961" width="0" style="2" hidden="1" customWidth="1"/>
    <col min="8962" max="8962" width="6.5703125" style="2" customWidth="1"/>
    <col min="8963" max="8963" width="0" style="2" hidden="1" customWidth="1"/>
    <col min="8964" max="8964" width="6.5703125" style="2" customWidth="1"/>
    <col min="8965" max="8965" width="28.5703125" style="2" customWidth="1"/>
    <col min="8966" max="8966" width="8" style="2" customWidth="1"/>
    <col min="8967" max="8967" width="7.7109375" style="2" customWidth="1"/>
    <col min="8968" max="8968" width="8" style="2" customWidth="1"/>
    <col min="8969" max="8976" width="7" style="2" customWidth="1"/>
    <col min="8977" max="8977" width="9.140625" style="2"/>
    <col min="8978" max="8979" width="0" style="2" hidden="1" customWidth="1"/>
    <col min="8980" max="9216" width="9.140625" style="2"/>
    <col min="9217" max="9217" width="0" style="2" hidden="1" customWidth="1"/>
    <col min="9218" max="9218" width="6.5703125" style="2" customWidth="1"/>
    <col min="9219" max="9219" width="0" style="2" hidden="1" customWidth="1"/>
    <col min="9220" max="9220" width="6.5703125" style="2" customWidth="1"/>
    <col min="9221" max="9221" width="28.5703125" style="2" customWidth="1"/>
    <col min="9222" max="9222" width="8" style="2" customWidth="1"/>
    <col min="9223" max="9223" width="7.7109375" style="2" customWidth="1"/>
    <col min="9224" max="9224" width="8" style="2" customWidth="1"/>
    <col min="9225" max="9232" width="7" style="2" customWidth="1"/>
    <col min="9233" max="9233" width="9.140625" style="2"/>
    <col min="9234" max="9235" width="0" style="2" hidden="1" customWidth="1"/>
    <col min="9236" max="9472" width="9.140625" style="2"/>
    <col min="9473" max="9473" width="0" style="2" hidden="1" customWidth="1"/>
    <col min="9474" max="9474" width="6.5703125" style="2" customWidth="1"/>
    <col min="9475" max="9475" width="0" style="2" hidden="1" customWidth="1"/>
    <col min="9476" max="9476" width="6.5703125" style="2" customWidth="1"/>
    <col min="9477" max="9477" width="28.5703125" style="2" customWidth="1"/>
    <col min="9478" max="9478" width="8" style="2" customWidth="1"/>
    <col min="9479" max="9479" width="7.7109375" style="2" customWidth="1"/>
    <col min="9480" max="9480" width="8" style="2" customWidth="1"/>
    <col min="9481" max="9488" width="7" style="2" customWidth="1"/>
    <col min="9489" max="9489" width="9.140625" style="2"/>
    <col min="9490" max="9491" width="0" style="2" hidden="1" customWidth="1"/>
    <col min="9492" max="9728" width="9.140625" style="2"/>
    <col min="9729" max="9729" width="0" style="2" hidden="1" customWidth="1"/>
    <col min="9730" max="9730" width="6.5703125" style="2" customWidth="1"/>
    <col min="9731" max="9731" width="0" style="2" hidden="1" customWidth="1"/>
    <col min="9732" max="9732" width="6.5703125" style="2" customWidth="1"/>
    <col min="9733" max="9733" width="28.5703125" style="2" customWidth="1"/>
    <col min="9734" max="9734" width="8" style="2" customWidth="1"/>
    <col min="9735" max="9735" width="7.7109375" style="2" customWidth="1"/>
    <col min="9736" max="9736" width="8" style="2" customWidth="1"/>
    <col min="9737" max="9744" width="7" style="2" customWidth="1"/>
    <col min="9745" max="9745" width="9.140625" style="2"/>
    <col min="9746" max="9747" width="0" style="2" hidden="1" customWidth="1"/>
    <col min="9748" max="9984" width="9.140625" style="2"/>
    <col min="9985" max="9985" width="0" style="2" hidden="1" customWidth="1"/>
    <col min="9986" max="9986" width="6.5703125" style="2" customWidth="1"/>
    <col min="9987" max="9987" width="0" style="2" hidden="1" customWidth="1"/>
    <col min="9988" max="9988" width="6.5703125" style="2" customWidth="1"/>
    <col min="9989" max="9989" width="28.5703125" style="2" customWidth="1"/>
    <col min="9990" max="9990" width="8" style="2" customWidth="1"/>
    <col min="9991" max="9991" width="7.7109375" style="2" customWidth="1"/>
    <col min="9992" max="9992" width="8" style="2" customWidth="1"/>
    <col min="9993" max="10000" width="7" style="2" customWidth="1"/>
    <col min="10001" max="10001" width="9.140625" style="2"/>
    <col min="10002" max="10003" width="0" style="2" hidden="1" customWidth="1"/>
    <col min="10004" max="10240" width="9.140625" style="2"/>
    <col min="10241" max="10241" width="0" style="2" hidden="1" customWidth="1"/>
    <col min="10242" max="10242" width="6.5703125" style="2" customWidth="1"/>
    <col min="10243" max="10243" width="0" style="2" hidden="1" customWidth="1"/>
    <col min="10244" max="10244" width="6.5703125" style="2" customWidth="1"/>
    <col min="10245" max="10245" width="28.5703125" style="2" customWidth="1"/>
    <col min="10246" max="10246" width="8" style="2" customWidth="1"/>
    <col min="10247" max="10247" width="7.7109375" style="2" customWidth="1"/>
    <col min="10248" max="10248" width="8" style="2" customWidth="1"/>
    <col min="10249" max="10256" width="7" style="2" customWidth="1"/>
    <col min="10257" max="10257" width="9.140625" style="2"/>
    <col min="10258" max="10259" width="0" style="2" hidden="1" customWidth="1"/>
    <col min="10260" max="10496" width="9.140625" style="2"/>
    <col min="10497" max="10497" width="0" style="2" hidden="1" customWidth="1"/>
    <col min="10498" max="10498" width="6.5703125" style="2" customWidth="1"/>
    <col min="10499" max="10499" width="0" style="2" hidden="1" customWidth="1"/>
    <col min="10500" max="10500" width="6.5703125" style="2" customWidth="1"/>
    <col min="10501" max="10501" width="28.5703125" style="2" customWidth="1"/>
    <col min="10502" max="10502" width="8" style="2" customWidth="1"/>
    <col min="10503" max="10503" width="7.7109375" style="2" customWidth="1"/>
    <col min="10504" max="10504" width="8" style="2" customWidth="1"/>
    <col min="10505" max="10512" width="7" style="2" customWidth="1"/>
    <col min="10513" max="10513" width="9.140625" style="2"/>
    <col min="10514" max="10515" width="0" style="2" hidden="1" customWidth="1"/>
    <col min="10516" max="10752" width="9.140625" style="2"/>
    <col min="10753" max="10753" width="0" style="2" hidden="1" customWidth="1"/>
    <col min="10754" max="10754" width="6.5703125" style="2" customWidth="1"/>
    <col min="10755" max="10755" width="0" style="2" hidden="1" customWidth="1"/>
    <col min="10756" max="10756" width="6.5703125" style="2" customWidth="1"/>
    <col min="10757" max="10757" width="28.5703125" style="2" customWidth="1"/>
    <col min="10758" max="10758" width="8" style="2" customWidth="1"/>
    <col min="10759" max="10759" width="7.7109375" style="2" customWidth="1"/>
    <col min="10760" max="10760" width="8" style="2" customWidth="1"/>
    <col min="10761" max="10768" width="7" style="2" customWidth="1"/>
    <col min="10769" max="10769" width="9.140625" style="2"/>
    <col min="10770" max="10771" width="0" style="2" hidden="1" customWidth="1"/>
    <col min="10772" max="11008" width="9.140625" style="2"/>
    <col min="11009" max="11009" width="0" style="2" hidden="1" customWidth="1"/>
    <col min="11010" max="11010" width="6.5703125" style="2" customWidth="1"/>
    <col min="11011" max="11011" width="0" style="2" hidden="1" customWidth="1"/>
    <col min="11012" max="11012" width="6.5703125" style="2" customWidth="1"/>
    <col min="11013" max="11013" width="28.5703125" style="2" customWidth="1"/>
    <col min="11014" max="11014" width="8" style="2" customWidth="1"/>
    <col min="11015" max="11015" width="7.7109375" style="2" customWidth="1"/>
    <col min="11016" max="11016" width="8" style="2" customWidth="1"/>
    <col min="11017" max="11024" width="7" style="2" customWidth="1"/>
    <col min="11025" max="11025" width="9.140625" style="2"/>
    <col min="11026" max="11027" width="0" style="2" hidden="1" customWidth="1"/>
    <col min="11028" max="11264" width="9.140625" style="2"/>
    <col min="11265" max="11265" width="0" style="2" hidden="1" customWidth="1"/>
    <col min="11266" max="11266" width="6.5703125" style="2" customWidth="1"/>
    <col min="11267" max="11267" width="0" style="2" hidden="1" customWidth="1"/>
    <col min="11268" max="11268" width="6.5703125" style="2" customWidth="1"/>
    <col min="11269" max="11269" width="28.5703125" style="2" customWidth="1"/>
    <col min="11270" max="11270" width="8" style="2" customWidth="1"/>
    <col min="11271" max="11271" width="7.7109375" style="2" customWidth="1"/>
    <col min="11272" max="11272" width="8" style="2" customWidth="1"/>
    <col min="11273" max="11280" width="7" style="2" customWidth="1"/>
    <col min="11281" max="11281" width="9.140625" style="2"/>
    <col min="11282" max="11283" width="0" style="2" hidden="1" customWidth="1"/>
    <col min="11284" max="11520" width="9.140625" style="2"/>
    <col min="11521" max="11521" width="0" style="2" hidden="1" customWidth="1"/>
    <col min="11522" max="11522" width="6.5703125" style="2" customWidth="1"/>
    <col min="11523" max="11523" width="0" style="2" hidden="1" customWidth="1"/>
    <col min="11524" max="11524" width="6.5703125" style="2" customWidth="1"/>
    <col min="11525" max="11525" width="28.5703125" style="2" customWidth="1"/>
    <col min="11526" max="11526" width="8" style="2" customWidth="1"/>
    <col min="11527" max="11527" width="7.7109375" style="2" customWidth="1"/>
    <col min="11528" max="11528" width="8" style="2" customWidth="1"/>
    <col min="11529" max="11536" width="7" style="2" customWidth="1"/>
    <col min="11537" max="11537" width="9.140625" style="2"/>
    <col min="11538" max="11539" width="0" style="2" hidden="1" customWidth="1"/>
    <col min="11540" max="11776" width="9.140625" style="2"/>
    <col min="11777" max="11777" width="0" style="2" hidden="1" customWidth="1"/>
    <col min="11778" max="11778" width="6.5703125" style="2" customWidth="1"/>
    <col min="11779" max="11779" width="0" style="2" hidden="1" customWidth="1"/>
    <col min="11780" max="11780" width="6.5703125" style="2" customWidth="1"/>
    <col min="11781" max="11781" width="28.5703125" style="2" customWidth="1"/>
    <col min="11782" max="11782" width="8" style="2" customWidth="1"/>
    <col min="11783" max="11783" width="7.7109375" style="2" customWidth="1"/>
    <col min="11784" max="11784" width="8" style="2" customWidth="1"/>
    <col min="11785" max="11792" width="7" style="2" customWidth="1"/>
    <col min="11793" max="11793" width="9.140625" style="2"/>
    <col min="11794" max="11795" width="0" style="2" hidden="1" customWidth="1"/>
    <col min="11796" max="12032" width="9.140625" style="2"/>
    <col min="12033" max="12033" width="0" style="2" hidden="1" customWidth="1"/>
    <col min="12034" max="12034" width="6.5703125" style="2" customWidth="1"/>
    <col min="12035" max="12035" width="0" style="2" hidden="1" customWidth="1"/>
    <col min="12036" max="12036" width="6.5703125" style="2" customWidth="1"/>
    <col min="12037" max="12037" width="28.5703125" style="2" customWidth="1"/>
    <col min="12038" max="12038" width="8" style="2" customWidth="1"/>
    <col min="12039" max="12039" width="7.7109375" style="2" customWidth="1"/>
    <col min="12040" max="12040" width="8" style="2" customWidth="1"/>
    <col min="12041" max="12048" width="7" style="2" customWidth="1"/>
    <col min="12049" max="12049" width="9.140625" style="2"/>
    <col min="12050" max="12051" width="0" style="2" hidden="1" customWidth="1"/>
    <col min="12052" max="12288" width="9.140625" style="2"/>
    <col min="12289" max="12289" width="0" style="2" hidden="1" customWidth="1"/>
    <col min="12290" max="12290" width="6.5703125" style="2" customWidth="1"/>
    <col min="12291" max="12291" width="0" style="2" hidden="1" customWidth="1"/>
    <col min="12292" max="12292" width="6.5703125" style="2" customWidth="1"/>
    <col min="12293" max="12293" width="28.5703125" style="2" customWidth="1"/>
    <col min="12294" max="12294" width="8" style="2" customWidth="1"/>
    <col min="12295" max="12295" width="7.7109375" style="2" customWidth="1"/>
    <col min="12296" max="12296" width="8" style="2" customWidth="1"/>
    <col min="12297" max="12304" width="7" style="2" customWidth="1"/>
    <col min="12305" max="12305" width="9.140625" style="2"/>
    <col min="12306" max="12307" width="0" style="2" hidden="1" customWidth="1"/>
    <col min="12308" max="12544" width="9.140625" style="2"/>
    <col min="12545" max="12545" width="0" style="2" hidden="1" customWidth="1"/>
    <col min="12546" max="12546" width="6.5703125" style="2" customWidth="1"/>
    <col min="12547" max="12547" width="0" style="2" hidden="1" customWidth="1"/>
    <col min="12548" max="12548" width="6.5703125" style="2" customWidth="1"/>
    <col min="12549" max="12549" width="28.5703125" style="2" customWidth="1"/>
    <col min="12550" max="12550" width="8" style="2" customWidth="1"/>
    <col min="12551" max="12551" width="7.7109375" style="2" customWidth="1"/>
    <col min="12552" max="12552" width="8" style="2" customWidth="1"/>
    <col min="12553" max="12560" width="7" style="2" customWidth="1"/>
    <col min="12561" max="12561" width="9.140625" style="2"/>
    <col min="12562" max="12563" width="0" style="2" hidden="1" customWidth="1"/>
    <col min="12564" max="12800" width="9.140625" style="2"/>
    <col min="12801" max="12801" width="0" style="2" hidden="1" customWidth="1"/>
    <col min="12802" max="12802" width="6.5703125" style="2" customWidth="1"/>
    <col min="12803" max="12803" width="0" style="2" hidden="1" customWidth="1"/>
    <col min="12804" max="12804" width="6.5703125" style="2" customWidth="1"/>
    <col min="12805" max="12805" width="28.5703125" style="2" customWidth="1"/>
    <col min="12806" max="12806" width="8" style="2" customWidth="1"/>
    <col min="12807" max="12807" width="7.7109375" style="2" customWidth="1"/>
    <col min="12808" max="12808" width="8" style="2" customWidth="1"/>
    <col min="12809" max="12816" width="7" style="2" customWidth="1"/>
    <col min="12817" max="12817" width="9.140625" style="2"/>
    <col min="12818" max="12819" width="0" style="2" hidden="1" customWidth="1"/>
    <col min="12820" max="13056" width="9.140625" style="2"/>
    <col min="13057" max="13057" width="0" style="2" hidden="1" customWidth="1"/>
    <col min="13058" max="13058" width="6.5703125" style="2" customWidth="1"/>
    <col min="13059" max="13059" width="0" style="2" hidden="1" customWidth="1"/>
    <col min="13060" max="13060" width="6.5703125" style="2" customWidth="1"/>
    <col min="13061" max="13061" width="28.5703125" style="2" customWidth="1"/>
    <col min="13062" max="13062" width="8" style="2" customWidth="1"/>
    <col min="13063" max="13063" width="7.7109375" style="2" customWidth="1"/>
    <col min="13064" max="13064" width="8" style="2" customWidth="1"/>
    <col min="13065" max="13072" width="7" style="2" customWidth="1"/>
    <col min="13073" max="13073" width="9.140625" style="2"/>
    <col min="13074" max="13075" width="0" style="2" hidden="1" customWidth="1"/>
    <col min="13076" max="13312" width="9.140625" style="2"/>
    <col min="13313" max="13313" width="0" style="2" hidden="1" customWidth="1"/>
    <col min="13314" max="13314" width="6.5703125" style="2" customWidth="1"/>
    <col min="13315" max="13315" width="0" style="2" hidden="1" customWidth="1"/>
    <col min="13316" max="13316" width="6.5703125" style="2" customWidth="1"/>
    <col min="13317" max="13317" width="28.5703125" style="2" customWidth="1"/>
    <col min="13318" max="13318" width="8" style="2" customWidth="1"/>
    <col min="13319" max="13319" width="7.7109375" style="2" customWidth="1"/>
    <col min="13320" max="13320" width="8" style="2" customWidth="1"/>
    <col min="13321" max="13328" width="7" style="2" customWidth="1"/>
    <col min="13329" max="13329" width="9.140625" style="2"/>
    <col min="13330" max="13331" width="0" style="2" hidden="1" customWidth="1"/>
    <col min="13332" max="13568" width="9.140625" style="2"/>
    <col min="13569" max="13569" width="0" style="2" hidden="1" customWidth="1"/>
    <col min="13570" max="13570" width="6.5703125" style="2" customWidth="1"/>
    <col min="13571" max="13571" width="0" style="2" hidden="1" customWidth="1"/>
    <col min="13572" max="13572" width="6.5703125" style="2" customWidth="1"/>
    <col min="13573" max="13573" width="28.5703125" style="2" customWidth="1"/>
    <col min="13574" max="13574" width="8" style="2" customWidth="1"/>
    <col min="13575" max="13575" width="7.7109375" style="2" customWidth="1"/>
    <col min="13576" max="13576" width="8" style="2" customWidth="1"/>
    <col min="13577" max="13584" width="7" style="2" customWidth="1"/>
    <col min="13585" max="13585" width="9.140625" style="2"/>
    <col min="13586" max="13587" width="0" style="2" hidden="1" customWidth="1"/>
    <col min="13588" max="13824" width="9.140625" style="2"/>
    <col min="13825" max="13825" width="0" style="2" hidden="1" customWidth="1"/>
    <col min="13826" max="13826" width="6.5703125" style="2" customWidth="1"/>
    <col min="13827" max="13827" width="0" style="2" hidden="1" customWidth="1"/>
    <col min="13828" max="13828" width="6.5703125" style="2" customWidth="1"/>
    <col min="13829" max="13829" width="28.5703125" style="2" customWidth="1"/>
    <col min="13830" max="13830" width="8" style="2" customWidth="1"/>
    <col min="13831" max="13831" width="7.7109375" style="2" customWidth="1"/>
    <col min="13832" max="13832" width="8" style="2" customWidth="1"/>
    <col min="13833" max="13840" width="7" style="2" customWidth="1"/>
    <col min="13841" max="13841" width="9.140625" style="2"/>
    <col min="13842" max="13843" width="0" style="2" hidden="1" customWidth="1"/>
    <col min="13844" max="14080" width="9.140625" style="2"/>
    <col min="14081" max="14081" width="0" style="2" hidden="1" customWidth="1"/>
    <col min="14082" max="14082" width="6.5703125" style="2" customWidth="1"/>
    <col min="14083" max="14083" width="0" style="2" hidden="1" customWidth="1"/>
    <col min="14084" max="14084" width="6.5703125" style="2" customWidth="1"/>
    <col min="14085" max="14085" width="28.5703125" style="2" customWidth="1"/>
    <col min="14086" max="14086" width="8" style="2" customWidth="1"/>
    <col min="14087" max="14087" width="7.7109375" style="2" customWidth="1"/>
    <col min="14088" max="14088" width="8" style="2" customWidth="1"/>
    <col min="14089" max="14096" width="7" style="2" customWidth="1"/>
    <col min="14097" max="14097" width="9.140625" style="2"/>
    <col min="14098" max="14099" width="0" style="2" hidden="1" customWidth="1"/>
    <col min="14100" max="14336" width="9.140625" style="2"/>
    <col min="14337" max="14337" width="0" style="2" hidden="1" customWidth="1"/>
    <col min="14338" max="14338" width="6.5703125" style="2" customWidth="1"/>
    <col min="14339" max="14339" width="0" style="2" hidden="1" customWidth="1"/>
    <col min="14340" max="14340" width="6.5703125" style="2" customWidth="1"/>
    <col min="14341" max="14341" width="28.5703125" style="2" customWidth="1"/>
    <col min="14342" max="14342" width="8" style="2" customWidth="1"/>
    <col min="14343" max="14343" width="7.7109375" style="2" customWidth="1"/>
    <col min="14344" max="14344" width="8" style="2" customWidth="1"/>
    <col min="14345" max="14352" width="7" style="2" customWidth="1"/>
    <col min="14353" max="14353" width="9.140625" style="2"/>
    <col min="14354" max="14355" width="0" style="2" hidden="1" customWidth="1"/>
    <col min="14356" max="14592" width="9.140625" style="2"/>
    <col min="14593" max="14593" width="0" style="2" hidden="1" customWidth="1"/>
    <col min="14594" max="14594" width="6.5703125" style="2" customWidth="1"/>
    <col min="14595" max="14595" width="0" style="2" hidden="1" customWidth="1"/>
    <col min="14596" max="14596" width="6.5703125" style="2" customWidth="1"/>
    <col min="14597" max="14597" width="28.5703125" style="2" customWidth="1"/>
    <col min="14598" max="14598" width="8" style="2" customWidth="1"/>
    <col min="14599" max="14599" width="7.7109375" style="2" customWidth="1"/>
    <col min="14600" max="14600" width="8" style="2" customWidth="1"/>
    <col min="14601" max="14608" width="7" style="2" customWidth="1"/>
    <col min="14609" max="14609" width="9.140625" style="2"/>
    <col min="14610" max="14611" width="0" style="2" hidden="1" customWidth="1"/>
    <col min="14612" max="14848" width="9.140625" style="2"/>
    <col min="14849" max="14849" width="0" style="2" hidden="1" customWidth="1"/>
    <col min="14850" max="14850" width="6.5703125" style="2" customWidth="1"/>
    <col min="14851" max="14851" width="0" style="2" hidden="1" customWidth="1"/>
    <col min="14852" max="14852" width="6.5703125" style="2" customWidth="1"/>
    <col min="14853" max="14853" width="28.5703125" style="2" customWidth="1"/>
    <col min="14854" max="14854" width="8" style="2" customWidth="1"/>
    <col min="14855" max="14855" width="7.7109375" style="2" customWidth="1"/>
    <col min="14856" max="14856" width="8" style="2" customWidth="1"/>
    <col min="14857" max="14864" width="7" style="2" customWidth="1"/>
    <col min="14865" max="14865" width="9.140625" style="2"/>
    <col min="14866" max="14867" width="0" style="2" hidden="1" customWidth="1"/>
    <col min="14868" max="15104" width="9.140625" style="2"/>
    <col min="15105" max="15105" width="0" style="2" hidden="1" customWidth="1"/>
    <col min="15106" max="15106" width="6.5703125" style="2" customWidth="1"/>
    <col min="15107" max="15107" width="0" style="2" hidden="1" customWidth="1"/>
    <col min="15108" max="15108" width="6.5703125" style="2" customWidth="1"/>
    <col min="15109" max="15109" width="28.5703125" style="2" customWidth="1"/>
    <col min="15110" max="15110" width="8" style="2" customWidth="1"/>
    <col min="15111" max="15111" width="7.7109375" style="2" customWidth="1"/>
    <col min="15112" max="15112" width="8" style="2" customWidth="1"/>
    <col min="15113" max="15120" width="7" style="2" customWidth="1"/>
    <col min="15121" max="15121" width="9.140625" style="2"/>
    <col min="15122" max="15123" width="0" style="2" hidden="1" customWidth="1"/>
    <col min="15124" max="15360" width="9.140625" style="2"/>
    <col min="15361" max="15361" width="0" style="2" hidden="1" customWidth="1"/>
    <col min="15362" max="15362" width="6.5703125" style="2" customWidth="1"/>
    <col min="15363" max="15363" width="0" style="2" hidden="1" customWidth="1"/>
    <col min="15364" max="15364" width="6.5703125" style="2" customWidth="1"/>
    <col min="15365" max="15365" width="28.5703125" style="2" customWidth="1"/>
    <col min="15366" max="15366" width="8" style="2" customWidth="1"/>
    <col min="15367" max="15367" width="7.7109375" style="2" customWidth="1"/>
    <col min="15368" max="15368" width="8" style="2" customWidth="1"/>
    <col min="15369" max="15376" width="7" style="2" customWidth="1"/>
    <col min="15377" max="15377" width="9.140625" style="2"/>
    <col min="15378" max="15379" width="0" style="2" hidden="1" customWidth="1"/>
    <col min="15380" max="15616" width="9.140625" style="2"/>
    <col min="15617" max="15617" width="0" style="2" hidden="1" customWidth="1"/>
    <col min="15618" max="15618" width="6.5703125" style="2" customWidth="1"/>
    <col min="15619" max="15619" width="0" style="2" hidden="1" customWidth="1"/>
    <col min="15620" max="15620" width="6.5703125" style="2" customWidth="1"/>
    <col min="15621" max="15621" width="28.5703125" style="2" customWidth="1"/>
    <col min="15622" max="15622" width="8" style="2" customWidth="1"/>
    <col min="15623" max="15623" width="7.7109375" style="2" customWidth="1"/>
    <col min="15624" max="15624" width="8" style="2" customWidth="1"/>
    <col min="15625" max="15632" width="7" style="2" customWidth="1"/>
    <col min="15633" max="15633" width="9.140625" style="2"/>
    <col min="15634" max="15635" width="0" style="2" hidden="1" customWidth="1"/>
    <col min="15636" max="15872" width="9.140625" style="2"/>
    <col min="15873" max="15873" width="0" style="2" hidden="1" customWidth="1"/>
    <col min="15874" max="15874" width="6.5703125" style="2" customWidth="1"/>
    <col min="15875" max="15875" width="0" style="2" hidden="1" customWidth="1"/>
    <col min="15876" max="15876" width="6.5703125" style="2" customWidth="1"/>
    <col min="15877" max="15877" width="28.5703125" style="2" customWidth="1"/>
    <col min="15878" max="15878" width="8" style="2" customWidth="1"/>
    <col min="15879" max="15879" width="7.7109375" style="2" customWidth="1"/>
    <col min="15880" max="15880" width="8" style="2" customWidth="1"/>
    <col min="15881" max="15888" width="7" style="2" customWidth="1"/>
    <col min="15889" max="15889" width="9.140625" style="2"/>
    <col min="15890" max="15891" width="0" style="2" hidden="1" customWidth="1"/>
    <col min="15892" max="16128" width="9.140625" style="2"/>
    <col min="16129" max="16129" width="0" style="2" hidden="1" customWidth="1"/>
    <col min="16130" max="16130" width="6.5703125" style="2" customWidth="1"/>
    <col min="16131" max="16131" width="0" style="2" hidden="1" customWidth="1"/>
    <col min="16132" max="16132" width="6.5703125" style="2" customWidth="1"/>
    <col min="16133" max="16133" width="28.5703125" style="2" customWidth="1"/>
    <col min="16134" max="16134" width="8" style="2" customWidth="1"/>
    <col min="16135" max="16135" width="7.7109375" style="2" customWidth="1"/>
    <col min="16136" max="16136" width="8" style="2" customWidth="1"/>
    <col min="16137" max="16144" width="7" style="2" customWidth="1"/>
    <col min="16145" max="16145" width="9.140625" style="2"/>
    <col min="16146" max="16147" width="0" style="2" hidden="1" customWidth="1"/>
    <col min="16148" max="16384" width="9.140625" style="2"/>
  </cols>
  <sheetData>
    <row r="1" spans="1:20" s="53" customFormat="1" ht="15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7"/>
      <c r="L1" s="166" t="s">
        <v>79</v>
      </c>
      <c r="M1" s="166"/>
      <c r="N1" s="166"/>
      <c r="O1" s="166"/>
      <c r="P1" s="166"/>
      <c r="Q1" s="166"/>
      <c r="R1" s="52"/>
    </row>
    <row r="2" spans="1:20" s="59" customFormat="1" ht="15" customHeight="1">
      <c r="A2" s="58"/>
      <c r="B2" s="58"/>
      <c r="D2" s="60"/>
      <c r="E2" s="60"/>
      <c r="F2" s="60"/>
      <c r="G2" s="60"/>
      <c r="H2" s="61"/>
      <c r="I2" s="62"/>
      <c r="J2" s="166" t="s">
        <v>246</v>
      </c>
      <c r="K2" s="166"/>
      <c r="L2" s="166"/>
      <c r="M2" s="166"/>
      <c r="N2" s="166"/>
      <c r="O2" s="166"/>
      <c r="P2" s="166"/>
      <c r="Q2" s="166"/>
    </row>
    <row r="3" spans="1:20" s="59" customFormat="1" ht="12" customHeight="1">
      <c r="A3" s="58"/>
      <c r="B3" s="58"/>
      <c r="D3" s="63"/>
      <c r="E3" s="63"/>
      <c r="F3" s="63"/>
      <c r="G3" s="63"/>
      <c r="H3" s="64"/>
      <c r="I3" s="173" t="s">
        <v>188</v>
      </c>
      <c r="J3" s="173"/>
      <c r="K3" s="173"/>
      <c r="L3" s="173"/>
      <c r="M3" s="173"/>
      <c r="N3" s="173"/>
      <c r="O3" s="173"/>
      <c r="P3" s="173"/>
      <c r="Q3" s="173"/>
    </row>
    <row r="4" spans="1:20" s="53" customFormat="1" ht="12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65"/>
      <c r="L4" s="165" t="s">
        <v>245</v>
      </c>
      <c r="M4" s="165"/>
      <c r="N4" s="165"/>
      <c r="O4" s="165"/>
      <c r="P4" s="165"/>
      <c r="Q4" s="165"/>
      <c r="R4" s="52"/>
    </row>
    <row r="5" spans="1:20" s="53" customFormat="1" ht="15.75" customHeight="1">
      <c r="A5" s="52"/>
      <c r="B5" s="172" t="s">
        <v>138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52"/>
    </row>
    <row r="6" spans="1:20" s="53" customFormat="1" ht="19.5" customHeight="1">
      <c r="A6" s="52"/>
      <c r="B6" s="170" t="s">
        <v>136</v>
      </c>
      <c r="C6" s="170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2"/>
    </row>
    <row r="7" spans="1:20" s="53" customFormat="1" ht="19.5" customHeight="1">
      <c r="A7" s="52"/>
      <c r="B7" s="171" t="s">
        <v>137</v>
      </c>
      <c r="C7" s="171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 t="s">
        <v>0</v>
      </c>
      <c r="R7" s="52"/>
    </row>
    <row r="8" spans="1:20" s="7" customFormat="1" ht="15.75" customHeight="1">
      <c r="A8" s="6"/>
      <c r="B8" s="169" t="s">
        <v>126</v>
      </c>
      <c r="C8" s="169" t="s">
        <v>127</v>
      </c>
      <c r="D8" s="169" t="s">
        <v>68</v>
      </c>
      <c r="E8" s="169" t="s">
        <v>128</v>
      </c>
      <c r="F8" s="167" t="s">
        <v>5</v>
      </c>
      <c r="G8" s="167"/>
      <c r="H8" s="167"/>
      <c r="I8" s="167"/>
      <c r="J8" s="167"/>
      <c r="K8" s="167" t="s">
        <v>2</v>
      </c>
      <c r="L8" s="167"/>
      <c r="M8" s="167"/>
      <c r="N8" s="167"/>
      <c r="O8" s="167"/>
      <c r="P8" s="167"/>
      <c r="Q8" s="167" t="s">
        <v>4</v>
      </c>
      <c r="R8" s="6"/>
    </row>
    <row r="9" spans="1:20" s="7" customFormat="1" ht="20.25" customHeight="1">
      <c r="A9" s="6"/>
      <c r="B9" s="169"/>
      <c r="C9" s="169"/>
      <c r="D9" s="169"/>
      <c r="E9" s="169"/>
      <c r="F9" s="167" t="s">
        <v>64</v>
      </c>
      <c r="G9" s="168" t="s">
        <v>6</v>
      </c>
      <c r="H9" s="169" t="s">
        <v>7</v>
      </c>
      <c r="I9" s="169"/>
      <c r="J9" s="168" t="s">
        <v>8</v>
      </c>
      <c r="K9" s="167" t="str">
        <f>F9</f>
        <v>усього</v>
      </c>
      <c r="L9" s="168" t="s">
        <v>63</v>
      </c>
      <c r="M9" s="168" t="s">
        <v>6</v>
      </c>
      <c r="N9" s="169" t="s">
        <v>7</v>
      </c>
      <c r="O9" s="169"/>
      <c r="P9" s="168" t="s">
        <v>8</v>
      </c>
      <c r="Q9" s="167"/>
      <c r="R9" s="6"/>
    </row>
    <row r="10" spans="1:20" s="7" customFormat="1" ht="84.75" customHeight="1">
      <c r="A10" s="6"/>
      <c r="B10" s="169"/>
      <c r="C10" s="169"/>
      <c r="D10" s="169"/>
      <c r="E10" s="169"/>
      <c r="F10" s="167"/>
      <c r="G10" s="168"/>
      <c r="H10" s="153" t="s">
        <v>9</v>
      </c>
      <c r="I10" s="153" t="s">
        <v>10</v>
      </c>
      <c r="J10" s="168"/>
      <c r="K10" s="167"/>
      <c r="L10" s="168"/>
      <c r="M10" s="168"/>
      <c r="N10" s="153" t="s">
        <v>9</v>
      </c>
      <c r="O10" s="153" t="s">
        <v>10</v>
      </c>
      <c r="P10" s="168"/>
      <c r="Q10" s="167"/>
      <c r="R10" s="6"/>
    </row>
    <row r="11" spans="1:20" s="7" customFormat="1" ht="15.75" customHeight="1">
      <c r="A11" s="6"/>
      <c r="B11" s="153">
        <v>1</v>
      </c>
      <c r="C11" s="153">
        <v>2</v>
      </c>
      <c r="D11" s="153">
        <v>3</v>
      </c>
      <c r="E11" s="153">
        <v>4</v>
      </c>
      <c r="F11" s="153">
        <v>5</v>
      </c>
      <c r="G11" s="152">
        <v>6</v>
      </c>
      <c r="H11" s="153">
        <v>7</v>
      </c>
      <c r="I11" s="153">
        <v>8</v>
      </c>
      <c r="J11" s="152">
        <v>9</v>
      </c>
      <c r="K11" s="153">
        <v>10</v>
      </c>
      <c r="L11" s="152">
        <v>11</v>
      </c>
      <c r="M11" s="152">
        <v>12</v>
      </c>
      <c r="N11" s="153">
        <v>13</v>
      </c>
      <c r="O11" s="153">
        <v>14</v>
      </c>
      <c r="P11" s="152">
        <v>15</v>
      </c>
      <c r="Q11" s="153">
        <v>16</v>
      </c>
      <c r="R11" s="6"/>
    </row>
    <row r="12" spans="1:20" s="34" customFormat="1" ht="13.5" customHeight="1">
      <c r="A12" s="32"/>
      <c r="B12" s="69" t="s">
        <v>70</v>
      </c>
      <c r="C12" s="70" t="s">
        <v>3</v>
      </c>
      <c r="D12" s="71" t="s">
        <v>3</v>
      </c>
      <c r="E12" s="72" t="s">
        <v>11</v>
      </c>
      <c r="F12" s="73">
        <f>F13</f>
        <v>68936244.180000007</v>
      </c>
      <c r="G12" s="73">
        <f t="shared" ref="G12:I12" si="0">G13</f>
        <v>68936244.180000007</v>
      </c>
      <c r="H12" s="73">
        <f t="shared" si="0"/>
        <v>45473695.480000004</v>
      </c>
      <c r="I12" s="73">
        <f t="shared" si="0"/>
        <v>3440500</v>
      </c>
      <c r="J12" s="73">
        <f t="shared" ref="J12:P12" si="1">J13</f>
        <v>0</v>
      </c>
      <c r="K12" s="73">
        <f t="shared" si="1"/>
        <v>5095543</v>
      </c>
      <c r="L12" s="73">
        <f t="shared" si="1"/>
        <v>4052543</v>
      </c>
      <c r="M12" s="73">
        <f t="shared" si="1"/>
        <v>1043000</v>
      </c>
      <c r="N12" s="73">
        <f t="shared" si="1"/>
        <v>10000</v>
      </c>
      <c r="O12" s="73">
        <f t="shared" si="1"/>
        <v>0</v>
      </c>
      <c r="P12" s="73">
        <f t="shared" si="1"/>
        <v>4052543</v>
      </c>
      <c r="Q12" s="73">
        <f>Q13</f>
        <v>74031787.180000007</v>
      </c>
      <c r="R12" s="32"/>
      <c r="T12" s="50"/>
    </row>
    <row r="13" spans="1:20" s="7" customFormat="1" ht="15.75" customHeight="1">
      <c r="A13" s="6"/>
      <c r="B13" s="74" t="s">
        <v>71</v>
      </c>
      <c r="C13" s="75"/>
      <c r="D13" s="151"/>
      <c r="E13" s="76" t="s">
        <v>11</v>
      </c>
      <c r="F13" s="51">
        <f t="shared" ref="F13:S13" si="2">F14+F16+F51+F62+F83+F89+F97+F109+F112+F126+F128+F130+F100+F103+F105+F40</f>
        <v>68936244.180000007</v>
      </c>
      <c r="G13" s="51">
        <f t="shared" si="2"/>
        <v>68936244.180000007</v>
      </c>
      <c r="H13" s="51">
        <f t="shared" si="2"/>
        <v>45473695.480000004</v>
      </c>
      <c r="I13" s="51">
        <f t="shared" si="2"/>
        <v>3440500</v>
      </c>
      <c r="J13" s="51">
        <f t="shared" si="2"/>
        <v>0</v>
      </c>
      <c r="K13" s="51">
        <f t="shared" si="2"/>
        <v>5095543</v>
      </c>
      <c r="L13" s="51">
        <f t="shared" si="2"/>
        <v>4052543</v>
      </c>
      <c r="M13" s="51">
        <f t="shared" si="2"/>
        <v>1043000</v>
      </c>
      <c r="N13" s="51">
        <f t="shared" si="2"/>
        <v>10000</v>
      </c>
      <c r="O13" s="51">
        <f t="shared" si="2"/>
        <v>0</v>
      </c>
      <c r="P13" s="51">
        <f t="shared" si="2"/>
        <v>4052543</v>
      </c>
      <c r="Q13" s="51">
        <f t="shared" si="2"/>
        <v>74031787.180000007</v>
      </c>
      <c r="R13" s="51" t="e">
        <f t="shared" si="2"/>
        <v>#REF!</v>
      </c>
      <c r="S13" s="51" t="e">
        <f t="shared" si="2"/>
        <v>#REF!</v>
      </c>
      <c r="T13" s="8"/>
    </row>
    <row r="14" spans="1:20" s="7" customFormat="1" ht="16.899999999999999" customHeight="1">
      <c r="A14" s="6"/>
      <c r="B14" s="74"/>
      <c r="C14" s="74" t="s">
        <v>83</v>
      </c>
      <c r="D14" s="151"/>
      <c r="E14" s="76" t="s">
        <v>84</v>
      </c>
      <c r="F14" s="51">
        <f>F15</f>
        <v>13025000</v>
      </c>
      <c r="G14" s="51">
        <f t="shared" ref="G14:P14" si="3">G15</f>
        <v>13025000</v>
      </c>
      <c r="H14" s="51">
        <f t="shared" si="3"/>
        <v>9648000</v>
      </c>
      <c r="I14" s="51">
        <f t="shared" si="3"/>
        <v>194000</v>
      </c>
      <c r="J14" s="51">
        <f t="shared" si="3"/>
        <v>0</v>
      </c>
      <c r="K14" s="51">
        <f t="shared" si="3"/>
        <v>681000</v>
      </c>
      <c r="L14" s="51">
        <f t="shared" si="3"/>
        <v>681000</v>
      </c>
      <c r="M14" s="51">
        <f t="shared" si="3"/>
        <v>0</v>
      </c>
      <c r="N14" s="51">
        <f t="shared" si="3"/>
        <v>0</v>
      </c>
      <c r="O14" s="51">
        <f t="shared" si="3"/>
        <v>0</v>
      </c>
      <c r="P14" s="51">
        <f t="shared" si="3"/>
        <v>681000</v>
      </c>
      <c r="Q14" s="51">
        <f>K14+F14</f>
        <v>13706000</v>
      </c>
      <c r="R14" s="9" t="e">
        <f>#REF!+R15</f>
        <v>#REF!</v>
      </c>
      <c r="S14" s="8" t="e">
        <f>#REF!+S15</f>
        <v>#REF!</v>
      </c>
    </row>
    <row r="15" spans="1:20" s="12" customFormat="1" ht="39" customHeight="1">
      <c r="A15" s="10"/>
      <c r="B15" s="77" t="s">
        <v>12</v>
      </c>
      <c r="C15" s="78" t="s">
        <v>88</v>
      </c>
      <c r="D15" s="78" t="s">
        <v>13</v>
      </c>
      <c r="E15" s="79" t="s">
        <v>14</v>
      </c>
      <c r="F15" s="46">
        <f>G15</f>
        <v>13025000</v>
      </c>
      <c r="G15" s="80">
        <f>291000+12260000+454000+20000</f>
        <v>13025000</v>
      </c>
      <c r="H15" s="80">
        <f>228000+9420000</f>
        <v>9648000</v>
      </c>
      <c r="I15" s="80">
        <f>110000+80000+4000</f>
        <v>194000</v>
      </c>
      <c r="J15" s="46">
        <v>0</v>
      </c>
      <c r="K15" s="81">
        <f>L15</f>
        <v>681000</v>
      </c>
      <c r="L15" s="82">
        <f>30000+60000+550000+50000-4808-4192</f>
        <v>681000</v>
      </c>
      <c r="M15" s="46">
        <v>0</v>
      </c>
      <c r="N15" s="46">
        <v>0</v>
      </c>
      <c r="O15" s="46">
        <v>0</v>
      </c>
      <c r="P15" s="46">
        <f>L15</f>
        <v>681000</v>
      </c>
      <c r="Q15" s="83">
        <f>F15+K15</f>
        <v>13706000</v>
      </c>
      <c r="R15" s="10"/>
    </row>
    <row r="16" spans="1:20" s="12" customFormat="1" ht="15" customHeight="1">
      <c r="A16" s="10"/>
      <c r="B16" s="84"/>
      <c r="C16" s="84">
        <v>1000</v>
      </c>
      <c r="D16" s="84"/>
      <c r="E16" s="85" t="s">
        <v>85</v>
      </c>
      <c r="F16" s="86">
        <f t="shared" ref="F16:P16" si="4">F17+F19+F24+F37+F44+F34+F46</f>
        <v>45359305.180000007</v>
      </c>
      <c r="G16" s="86">
        <f t="shared" si="4"/>
        <v>45359305.180000007</v>
      </c>
      <c r="H16" s="86">
        <f t="shared" si="4"/>
        <v>32212695.48</v>
      </c>
      <c r="I16" s="86">
        <f t="shared" si="4"/>
        <v>2388500</v>
      </c>
      <c r="J16" s="86">
        <f t="shared" si="4"/>
        <v>0</v>
      </c>
      <c r="K16" s="86">
        <f t="shared" si="4"/>
        <v>2776310</v>
      </c>
      <c r="L16" s="86">
        <f t="shared" si="4"/>
        <v>1911310</v>
      </c>
      <c r="M16" s="86">
        <f t="shared" si="4"/>
        <v>865000</v>
      </c>
      <c r="N16" s="86">
        <f t="shared" si="4"/>
        <v>0</v>
      </c>
      <c r="O16" s="86">
        <f t="shared" si="4"/>
        <v>0</v>
      </c>
      <c r="P16" s="86">
        <f t="shared" si="4"/>
        <v>1911310</v>
      </c>
      <c r="Q16" s="86">
        <f>K16+F16</f>
        <v>48135615.180000007</v>
      </c>
      <c r="R16" s="10"/>
      <c r="T16" s="49"/>
    </row>
    <row r="17" spans="1:19" s="7" customFormat="1" ht="21" customHeight="1">
      <c r="A17" s="6"/>
      <c r="B17" s="87" t="s">
        <v>15</v>
      </c>
      <c r="C17" s="87" t="s">
        <v>16</v>
      </c>
      <c r="D17" s="87" t="s">
        <v>17</v>
      </c>
      <c r="E17" s="88" t="s">
        <v>18</v>
      </c>
      <c r="F17" s="14">
        <f>F18</f>
        <v>9567000</v>
      </c>
      <c r="G17" s="14">
        <f>G18</f>
        <v>9567000</v>
      </c>
      <c r="H17" s="14">
        <f>H18</f>
        <v>6030000</v>
      </c>
      <c r="I17" s="14">
        <f>I18</f>
        <v>893000</v>
      </c>
      <c r="J17" s="14">
        <f t="shared" ref="J17:P17" si="5">J18</f>
        <v>0</v>
      </c>
      <c r="K17" s="14">
        <f t="shared" si="5"/>
        <v>475000</v>
      </c>
      <c r="L17" s="14">
        <f t="shared" si="5"/>
        <v>0</v>
      </c>
      <c r="M17" s="14">
        <f t="shared" si="5"/>
        <v>475000</v>
      </c>
      <c r="N17" s="14">
        <f t="shared" si="5"/>
        <v>0</v>
      </c>
      <c r="O17" s="14">
        <f t="shared" si="5"/>
        <v>0</v>
      </c>
      <c r="P17" s="14">
        <f t="shared" si="5"/>
        <v>0</v>
      </c>
      <c r="Q17" s="14">
        <f t="shared" ref="Q17:Q88" si="6">F17+K17</f>
        <v>10042000</v>
      </c>
      <c r="R17" s="6"/>
    </row>
    <row r="18" spans="1:19" s="7" customFormat="1" ht="19.5" customHeight="1">
      <c r="A18" s="6"/>
      <c r="B18" s="87"/>
      <c r="C18" s="87"/>
      <c r="D18" s="87"/>
      <c r="E18" s="89" t="s">
        <v>19</v>
      </c>
      <c r="F18" s="5">
        <f>G18</f>
        <v>9567000</v>
      </c>
      <c r="G18" s="31">
        <f>8754000+773000+40000</f>
        <v>9567000</v>
      </c>
      <c r="H18" s="31">
        <f>5870000+160000</f>
        <v>6030000</v>
      </c>
      <c r="I18" s="31">
        <f>200000+600000+93000</f>
        <v>893000</v>
      </c>
      <c r="J18" s="5">
        <v>0</v>
      </c>
      <c r="K18" s="5">
        <f>M18</f>
        <v>475000</v>
      </c>
      <c r="L18" s="5">
        <v>0</v>
      </c>
      <c r="M18" s="31">
        <f>455000+20000</f>
        <v>475000</v>
      </c>
      <c r="N18" s="5">
        <v>0</v>
      </c>
      <c r="O18" s="5">
        <v>0</v>
      </c>
      <c r="P18" s="5">
        <v>0</v>
      </c>
      <c r="Q18" s="5">
        <f t="shared" si="6"/>
        <v>10042000</v>
      </c>
      <c r="R18" s="6"/>
    </row>
    <row r="19" spans="1:19" s="7" customFormat="1" ht="25.5" customHeight="1">
      <c r="A19" s="6"/>
      <c r="B19" s="87" t="s">
        <v>20</v>
      </c>
      <c r="C19" s="87" t="s">
        <v>21</v>
      </c>
      <c r="D19" s="87"/>
      <c r="E19" s="88" t="s">
        <v>146</v>
      </c>
      <c r="F19" s="14">
        <f>F20</f>
        <v>12179261.48</v>
      </c>
      <c r="G19" s="14">
        <f t="shared" ref="G19:S19" si="7">G20</f>
        <v>12179261.48</v>
      </c>
      <c r="H19" s="14">
        <f t="shared" si="7"/>
        <v>7617385.4800000004</v>
      </c>
      <c r="I19" s="14">
        <f t="shared" si="7"/>
        <v>1450000</v>
      </c>
      <c r="J19" s="14">
        <f t="shared" si="7"/>
        <v>0</v>
      </c>
      <c r="K19" s="14">
        <f t="shared" si="7"/>
        <v>465700</v>
      </c>
      <c r="L19" s="14">
        <f t="shared" si="7"/>
        <v>75700</v>
      </c>
      <c r="M19" s="14">
        <f t="shared" si="7"/>
        <v>390000</v>
      </c>
      <c r="N19" s="14">
        <f t="shared" si="7"/>
        <v>0</v>
      </c>
      <c r="O19" s="14">
        <f t="shared" si="7"/>
        <v>0</v>
      </c>
      <c r="P19" s="14">
        <f t="shared" si="7"/>
        <v>75700</v>
      </c>
      <c r="Q19" s="14">
        <f t="shared" si="7"/>
        <v>12637576</v>
      </c>
      <c r="R19" s="11">
        <f t="shared" si="7"/>
        <v>0</v>
      </c>
      <c r="S19" s="13">
        <f t="shared" si="7"/>
        <v>0</v>
      </c>
    </row>
    <row r="20" spans="1:19" s="7" customFormat="1" ht="28.5" customHeight="1">
      <c r="A20" s="6"/>
      <c r="B20" s="87" t="s">
        <v>185</v>
      </c>
      <c r="C20" s="87" t="s">
        <v>186</v>
      </c>
      <c r="D20" s="87" t="s">
        <v>22</v>
      </c>
      <c r="E20" s="88" t="s">
        <v>147</v>
      </c>
      <c r="F20" s="14">
        <f>F21+F22+F23</f>
        <v>12179261.48</v>
      </c>
      <c r="G20" s="14">
        <f>G21+G22+G23</f>
        <v>12179261.48</v>
      </c>
      <c r="H20" s="14">
        <f t="shared" ref="H20:I20" si="8">H21+H22+H23</f>
        <v>7617385.4800000004</v>
      </c>
      <c r="I20" s="14">
        <f t="shared" si="8"/>
        <v>1450000</v>
      </c>
      <c r="J20" s="14">
        <f t="shared" ref="J20:Q20" si="9">J21+J22</f>
        <v>0</v>
      </c>
      <c r="K20" s="14">
        <f t="shared" si="9"/>
        <v>465700</v>
      </c>
      <c r="L20" s="14">
        <f t="shared" si="9"/>
        <v>75700</v>
      </c>
      <c r="M20" s="14">
        <f t="shared" si="9"/>
        <v>390000</v>
      </c>
      <c r="N20" s="14">
        <f t="shared" si="9"/>
        <v>0</v>
      </c>
      <c r="O20" s="14">
        <f t="shared" si="9"/>
        <v>0</v>
      </c>
      <c r="P20" s="14">
        <f t="shared" si="9"/>
        <v>75700</v>
      </c>
      <c r="Q20" s="14">
        <f t="shared" si="9"/>
        <v>12637576</v>
      </c>
      <c r="R20" s="6"/>
    </row>
    <row r="21" spans="1:19" s="7" customFormat="1" ht="22.5" customHeight="1">
      <c r="A21" s="6"/>
      <c r="B21" s="153"/>
      <c r="C21" s="153"/>
      <c r="D21" s="153"/>
      <c r="E21" s="89" t="s">
        <v>19</v>
      </c>
      <c r="F21" s="5">
        <f>G21</f>
        <v>11296076</v>
      </c>
      <c r="G21" s="31">
        <f>10968200+300000+50000-36052-36072+50000</f>
        <v>11296076</v>
      </c>
      <c r="H21" s="31">
        <v>6734200</v>
      </c>
      <c r="I21" s="31">
        <f>830000+400000+20000+150000+50000</f>
        <v>1450000</v>
      </c>
      <c r="J21" s="5">
        <v>0</v>
      </c>
      <c r="K21" s="5">
        <f>L21+M21</f>
        <v>465700</v>
      </c>
      <c r="L21" s="82">
        <v>75700</v>
      </c>
      <c r="M21" s="31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11761776</v>
      </c>
      <c r="R21" s="6"/>
    </row>
    <row r="22" spans="1:19" s="26" customFormat="1" ht="54.75" customHeight="1">
      <c r="A22" s="25"/>
      <c r="B22" s="90"/>
      <c r="C22" s="90"/>
      <c r="D22" s="90"/>
      <c r="E22" s="91" t="s">
        <v>139</v>
      </c>
      <c r="F22" s="35">
        <f>G22</f>
        <v>875800</v>
      </c>
      <c r="G22" s="5">
        <f>H22</f>
        <v>875800</v>
      </c>
      <c r="H22" s="92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  <c r="R22" s="25"/>
    </row>
    <row r="23" spans="1:19" s="26" customFormat="1" ht="59.25" customHeight="1">
      <c r="A23" s="25"/>
      <c r="B23" s="90"/>
      <c r="C23" s="90"/>
      <c r="D23" s="90"/>
      <c r="E23" s="91" t="s">
        <v>216</v>
      </c>
      <c r="F23" s="35">
        <f>G23</f>
        <v>7385.48</v>
      </c>
      <c r="G23" s="5">
        <f>H23</f>
        <v>7385.48</v>
      </c>
      <c r="H23" s="92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0">F23+K23</f>
        <v>7385.48</v>
      </c>
      <c r="R23" s="25"/>
    </row>
    <row r="24" spans="1:19" s="7" customFormat="1" ht="25.5" customHeight="1">
      <c r="A24" s="6"/>
      <c r="B24" s="87" t="s">
        <v>150</v>
      </c>
      <c r="C24" s="87" t="s">
        <v>199</v>
      </c>
      <c r="D24" s="87"/>
      <c r="E24" s="88" t="s">
        <v>151</v>
      </c>
      <c r="F24" s="14">
        <f>F25</f>
        <v>21888200</v>
      </c>
      <c r="G24" s="14">
        <f t="shared" ref="G24:P24" si="11">G25</f>
        <v>21888200</v>
      </c>
      <c r="H24" s="14">
        <f t="shared" si="11"/>
        <v>17942000</v>
      </c>
      <c r="I24" s="14">
        <f>I25</f>
        <v>0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0</v>
      </c>
      <c r="Q24" s="14">
        <f t="shared" ref="Q24" si="12">F24+K24</f>
        <v>21888200</v>
      </c>
      <c r="R24" s="6"/>
    </row>
    <row r="25" spans="1:19" s="7" customFormat="1" ht="28.5" customHeight="1">
      <c r="A25" s="6"/>
      <c r="B25" s="87" t="s">
        <v>149</v>
      </c>
      <c r="C25" s="87" t="s">
        <v>148</v>
      </c>
      <c r="D25" s="87" t="s">
        <v>22</v>
      </c>
      <c r="E25" s="88" t="s">
        <v>147</v>
      </c>
      <c r="F25" s="14">
        <f>F26</f>
        <v>21888200</v>
      </c>
      <c r="G25" s="14">
        <f>G26</f>
        <v>21888200</v>
      </c>
      <c r="H25" s="14">
        <f>H26</f>
        <v>17942000</v>
      </c>
      <c r="I25" s="14">
        <f>I26</f>
        <v>0</v>
      </c>
      <c r="J25" s="14">
        <f t="shared" ref="J25:P25" si="13">J26</f>
        <v>0</v>
      </c>
      <c r="K25" s="14">
        <f t="shared" si="13"/>
        <v>0</v>
      </c>
      <c r="L25" s="14">
        <f t="shared" si="13"/>
        <v>0</v>
      </c>
      <c r="M25" s="14">
        <f t="shared" si="13"/>
        <v>0</v>
      </c>
      <c r="N25" s="14">
        <f t="shared" si="13"/>
        <v>0</v>
      </c>
      <c r="O25" s="14">
        <f t="shared" si="13"/>
        <v>0</v>
      </c>
      <c r="P25" s="14">
        <f t="shared" si="13"/>
        <v>0</v>
      </c>
      <c r="Q25" s="14">
        <f>Q26+Q27</f>
        <v>21888200</v>
      </c>
      <c r="R25" s="6"/>
    </row>
    <row r="26" spans="1:19" s="7" customFormat="1" ht="33" customHeight="1">
      <c r="A26" s="6"/>
      <c r="B26" s="153"/>
      <c r="C26" s="153"/>
      <c r="D26" s="153"/>
      <c r="E26" s="89" t="s">
        <v>23</v>
      </c>
      <c r="F26" s="5">
        <f>G26</f>
        <v>21888200</v>
      </c>
      <c r="G26" s="31">
        <v>21888200</v>
      </c>
      <c r="H26" s="31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  <c r="R26" s="6"/>
    </row>
    <row r="27" spans="1:19" s="7" customFormat="1" ht="0.75" customHeight="1">
      <c r="A27" s="6"/>
      <c r="B27" s="153"/>
      <c r="C27" s="153"/>
      <c r="D27" s="153"/>
      <c r="E27" s="8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9" s="7" customFormat="1" ht="29.25" hidden="1" customHeight="1">
      <c r="A28" s="6"/>
      <c r="B28" s="153"/>
      <c r="C28" s="153"/>
      <c r="D28" s="153"/>
      <c r="E28" s="8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9" s="7" customFormat="1" ht="30" hidden="1" customHeight="1">
      <c r="A29" s="6"/>
      <c r="B29" s="153"/>
      <c r="C29" s="153"/>
      <c r="D29" s="153"/>
      <c r="E29" s="8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9" s="7" customFormat="1" ht="19.5" customHeight="1">
      <c r="A30" s="6"/>
      <c r="B30" s="169" t="s">
        <v>66</v>
      </c>
      <c r="C30" s="169" t="s">
        <v>67</v>
      </c>
      <c r="D30" s="169" t="s">
        <v>68</v>
      </c>
      <c r="E30" s="169" t="s">
        <v>69</v>
      </c>
      <c r="F30" s="167" t="s">
        <v>5</v>
      </c>
      <c r="G30" s="167"/>
      <c r="H30" s="167"/>
      <c r="I30" s="167"/>
      <c r="J30" s="167"/>
      <c r="K30" s="167" t="s">
        <v>2</v>
      </c>
      <c r="L30" s="167"/>
      <c r="M30" s="167"/>
      <c r="N30" s="167"/>
      <c r="O30" s="167"/>
      <c r="P30" s="167"/>
      <c r="Q30" s="167" t="s">
        <v>4</v>
      </c>
      <c r="R30" s="6"/>
    </row>
    <row r="31" spans="1:19" s="7" customFormat="1" ht="58.15" customHeight="1">
      <c r="A31" s="6"/>
      <c r="B31" s="169"/>
      <c r="C31" s="169"/>
      <c r="D31" s="169"/>
      <c r="E31" s="169"/>
      <c r="F31" s="167" t="s">
        <v>62</v>
      </c>
      <c r="G31" s="168" t="s">
        <v>6</v>
      </c>
      <c r="H31" s="169" t="s">
        <v>7</v>
      </c>
      <c r="I31" s="169"/>
      <c r="J31" s="168" t="s">
        <v>8</v>
      </c>
      <c r="K31" s="167" t="s">
        <v>62</v>
      </c>
      <c r="L31" s="168" t="s">
        <v>63</v>
      </c>
      <c r="M31" s="168" t="s">
        <v>6</v>
      </c>
      <c r="N31" s="169" t="s">
        <v>7</v>
      </c>
      <c r="O31" s="169"/>
      <c r="P31" s="168" t="s">
        <v>8</v>
      </c>
      <c r="Q31" s="167"/>
      <c r="R31" s="6"/>
    </row>
    <row r="32" spans="1:19" s="7" customFormat="1" ht="29.25" customHeight="1">
      <c r="A32" s="6"/>
      <c r="B32" s="169"/>
      <c r="C32" s="169"/>
      <c r="D32" s="169"/>
      <c r="E32" s="169"/>
      <c r="F32" s="167"/>
      <c r="G32" s="168"/>
      <c r="H32" s="153" t="s">
        <v>9</v>
      </c>
      <c r="I32" s="153" t="s">
        <v>10</v>
      </c>
      <c r="J32" s="168"/>
      <c r="K32" s="167"/>
      <c r="L32" s="168"/>
      <c r="M32" s="168"/>
      <c r="N32" s="153" t="s">
        <v>9</v>
      </c>
      <c r="O32" s="153" t="s">
        <v>10</v>
      </c>
      <c r="P32" s="168"/>
      <c r="Q32" s="167"/>
      <c r="R32" s="6"/>
    </row>
    <row r="33" spans="1:18" s="7" customFormat="1" ht="13.5" customHeight="1">
      <c r="A33" s="6"/>
      <c r="B33" s="153">
        <v>1</v>
      </c>
      <c r="C33" s="153">
        <v>2</v>
      </c>
      <c r="D33" s="153">
        <v>3</v>
      </c>
      <c r="E33" s="153">
        <v>4</v>
      </c>
      <c r="F33" s="151">
        <v>5</v>
      </c>
      <c r="G33" s="152">
        <v>6</v>
      </c>
      <c r="H33" s="153">
        <v>7</v>
      </c>
      <c r="I33" s="153">
        <v>8</v>
      </c>
      <c r="J33" s="152">
        <v>9</v>
      </c>
      <c r="K33" s="153">
        <v>10</v>
      </c>
      <c r="L33" s="152">
        <v>11</v>
      </c>
      <c r="M33" s="152">
        <v>12</v>
      </c>
      <c r="N33" s="153">
        <v>13</v>
      </c>
      <c r="O33" s="153">
        <v>14</v>
      </c>
      <c r="P33" s="152">
        <v>15</v>
      </c>
      <c r="Q33" s="151">
        <v>16</v>
      </c>
      <c r="R33" s="6"/>
    </row>
    <row r="34" spans="1:18" s="29" customFormat="1" ht="93" customHeight="1">
      <c r="A34" s="27"/>
      <c r="B34" s="93" t="s">
        <v>200</v>
      </c>
      <c r="C34" s="94">
        <v>1060</v>
      </c>
      <c r="D34" s="93"/>
      <c r="E34" s="95" t="s">
        <v>201</v>
      </c>
      <c r="F34" s="96">
        <f>F35</f>
        <v>728482</v>
      </c>
      <c r="G34" s="96">
        <f t="shared" ref="G34:Q34" si="14">G35</f>
        <v>728482</v>
      </c>
      <c r="H34" s="96">
        <f t="shared" si="14"/>
        <v>0</v>
      </c>
      <c r="I34" s="96">
        <f t="shared" si="14"/>
        <v>0</v>
      </c>
      <c r="J34" s="96">
        <f t="shared" si="14"/>
        <v>0</v>
      </c>
      <c r="K34" s="96">
        <f t="shared" si="14"/>
        <v>1835610</v>
      </c>
      <c r="L34" s="96">
        <f t="shared" si="14"/>
        <v>1835610</v>
      </c>
      <c r="M34" s="96">
        <f t="shared" si="14"/>
        <v>0</v>
      </c>
      <c r="N34" s="96">
        <f t="shared" si="14"/>
        <v>0</v>
      </c>
      <c r="O34" s="96">
        <f t="shared" si="14"/>
        <v>0</v>
      </c>
      <c r="P34" s="96">
        <f t="shared" si="14"/>
        <v>1835610</v>
      </c>
      <c r="Q34" s="96">
        <f t="shared" si="14"/>
        <v>2564092</v>
      </c>
      <c r="R34" s="27"/>
    </row>
    <row r="35" spans="1:18" s="29" customFormat="1" ht="24.75" customHeight="1">
      <c r="A35" s="27"/>
      <c r="B35" s="93" t="s">
        <v>191</v>
      </c>
      <c r="C35" s="94">
        <v>1061</v>
      </c>
      <c r="D35" s="93" t="s">
        <v>22</v>
      </c>
      <c r="E35" s="95" t="s">
        <v>147</v>
      </c>
      <c r="F35" s="96">
        <f>F36</f>
        <v>728482</v>
      </c>
      <c r="G35" s="96">
        <f t="shared" ref="G35:J35" si="15">G36</f>
        <v>728482</v>
      </c>
      <c r="H35" s="96">
        <f t="shared" si="15"/>
        <v>0</v>
      </c>
      <c r="I35" s="96">
        <f t="shared" si="15"/>
        <v>0</v>
      </c>
      <c r="J35" s="96">
        <f t="shared" si="15"/>
        <v>0</v>
      </c>
      <c r="K35" s="96">
        <f t="shared" ref="K35" si="16">K36</f>
        <v>1835610</v>
      </c>
      <c r="L35" s="96">
        <f t="shared" ref="L35" si="17">L36</f>
        <v>1835610</v>
      </c>
      <c r="M35" s="96">
        <f t="shared" ref="M35" si="18">M36</f>
        <v>0</v>
      </c>
      <c r="N35" s="96">
        <f t="shared" ref="N35" si="19">N36</f>
        <v>0</v>
      </c>
      <c r="O35" s="96">
        <f t="shared" ref="O35" si="20">O36</f>
        <v>0</v>
      </c>
      <c r="P35" s="96">
        <f t="shared" ref="P35:Q35" si="21">P36</f>
        <v>1835610</v>
      </c>
      <c r="Q35" s="97">
        <f t="shared" si="21"/>
        <v>2564092</v>
      </c>
      <c r="R35" s="27"/>
    </row>
    <row r="36" spans="1:18" s="26" customFormat="1" ht="19.5" customHeight="1">
      <c r="A36" s="25"/>
      <c r="B36" s="93"/>
      <c r="C36" s="94"/>
      <c r="D36" s="93"/>
      <c r="E36" s="98" t="s">
        <v>196</v>
      </c>
      <c r="F36" s="5">
        <f>G35</f>
        <v>728482</v>
      </c>
      <c r="G36" s="31">
        <f>570000+158482</f>
        <v>728482</v>
      </c>
      <c r="H36" s="99">
        <v>0</v>
      </c>
      <c r="I36" s="99">
        <v>0</v>
      </c>
      <c r="J36" s="5">
        <v>0</v>
      </c>
      <c r="K36" s="5">
        <f>L36</f>
        <v>1835610</v>
      </c>
      <c r="L36" s="31">
        <f>976600+50000+189010+620000</f>
        <v>1835610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1835610</v>
      </c>
      <c r="Q36" s="14">
        <f>K36+F36</f>
        <v>2564092</v>
      </c>
      <c r="R36" s="25"/>
    </row>
    <row r="37" spans="1:18" s="7" customFormat="1" ht="27" customHeight="1">
      <c r="A37" s="6"/>
      <c r="B37" s="87" t="s">
        <v>154</v>
      </c>
      <c r="C37" s="153">
        <v>1160</v>
      </c>
      <c r="D37" s="87" t="s">
        <v>155</v>
      </c>
      <c r="E37" s="88" t="s">
        <v>156</v>
      </c>
      <c r="F37" s="5">
        <f>G37</f>
        <v>747534</v>
      </c>
      <c r="G37" s="99">
        <f>G38+G39</f>
        <v>747534</v>
      </c>
      <c r="H37" s="99">
        <f>H38+H39</f>
        <v>473710</v>
      </c>
      <c r="I37" s="99">
        <f>I38+I39</f>
        <v>45500</v>
      </c>
      <c r="J37" s="5">
        <f t="shared" ref="J37:P37" si="22">J38</f>
        <v>0</v>
      </c>
      <c r="K37" s="5">
        <f t="shared" si="22"/>
        <v>0</v>
      </c>
      <c r="L37" s="5">
        <f t="shared" si="22"/>
        <v>0</v>
      </c>
      <c r="M37" s="5">
        <f t="shared" si="22"/>
        <v>0</v>
      </c>
      <c r="N37" s="5">
        <f t="shared" si="22"/>
        <v>0</v>
      </c>
      <c r="O37" s="5">
        <f t="shared" si="22"/>
        <v>0</v>
      </c>
      <c r="P37" s="5">
        <f t="shared" si="22"/>
        <v>0</v>
      </c>
      <c r="Q37" s="14">
        <f>K37+F37</f>
        <v>747534</v>
      </c>
      <c r="R37" s="6"/>
    </row>
    <row r="38" spans="1:18" s="41" customFormat="1" ht="27" customHeight="1">
      <c r="A38" s="40"/>
      <c r="B38" s="100"/>
      <c r="C38" s="152"/>
      <c r="D38" s="100"/>
      <c r="E38" s="89" t="str">
        <f>E18</f>
        <v>в т.ч.  за рахунок коштів місцевого бюджету</v>
      </c>
      <c r="F38" s="5">
        <f>G38</f>
        <v>284000</v>
      </c>
      <c r="G38" s="31">
        <f>190000+108970+55030-70000</f>
        <v>284000</v>
      </c>
      <c r="H38" s="31">
        <f>144000+79760-59160</f>
        <v>164600</v>
      </c>
      <c r="I38" s="31">
        <f>2000+1000+2000+4910</f>
        <v>9910</v>
      </c>
      <c r="J38" s="5">
        <f t="shared" ref="F38:P53" si="23">J39</f>
        <v>0</v>
      </c>
      <c r="K38" s="5">
        <f t="shared" si="23"/>
        <v>0</v>
      </c>
      <c r="L38" s="5">
        <f t="shared" si="23"/>
        <v>0</v>
      </c>
      <c r="M38" s="5">
        <f t="shared" si="23"/>
        <v>0</v>
      </c>
      <c r="N38" s="5">
        <f t="shared" si="23"/>
        <v>0</v>
      </c>
      <c r="O38" s="5">
        <f t="shared" si="23"/>
        <v>0</v>
      </c>
      <c r="P38" s="5">
        <f t="shared" si="23"/>
        <v>0</v>
      </c>
      <c r="Q38" s="5">
        <f t="shared" ref="Q38:Q43" si="24">K38+F38</f>
        <v>284000</v>
      </c>
      <c r="R38" s="40"/>
    </row>
    <row r="39" spans="1:18" s="41" customFormat="1" ht="27" customHeight="1">
      <c r="A39" s="40"/>
      <c r="B39" s="100"/>
      <c r="C39" s="152"/>
      <c r="D39" s="100"/>
      <c r="E39" s="89" t="s">
        <v>157</v>
      </c>
      <c r="F39" s="5">
        <f>G39</f>
        <v>463534</v>
      </c>
      <c r="G39" s="31">
        <f>304140-108970+188364+80000</f>
        <v>463534</v>
      </c>
      <c r="H39" s="31">
        <v>309110</v>
      </c>
      <c r="I39" s="31">
        <f>18000+2300+8000-4910+12200</f>
        <v>35590</v>
      </c>
      <c r="J39" s="5">
        <f t="shared" ref="J39:P39" si="25">J44</f>
        <v>0</v>
      </c>
      <c r="K39" s="5">
        <f t="shared" si="25"/>
        <v>0</v>
      </c>
      <c r="L39" s="5">
        <f t="shared" si="25"/>
        <v>0</v>
      </c>
      <c r="M39" s="5">
        <f t="shared" si="25"/>
        <v>0</v>
      </c>
      <c r="N39" s="5">
        <f t="shared" si="25"/>
        <v>0</v>
      </c>
      <c r="O39" s="5">
        <f t="shared" si="25"/>
        <v>0</v>
      </c>
      <c r="P39" s="5">
        <f t="shared" si="25"/>
        <v>0</v>
      </c>
      <c r="Q39" s="5">
        <f t="shared" si="24"/>
        <v>463534</v>
      </c>
      <c r="R39" s="40"/>
    </row>
    <row r="40" spans="1:18" s="29" customFormat="1" ht="42.75" customHeight="1">
      <c r="A40" s="27"/>
      <c r="B40" s="93" t="s">
        <v>234</v>
      </c>
      <c r="C40" s="94">
        <v>1180</v>
      </c>
      <c r="D40" s="93"/>
      <c r="E40" s="103" t="s">
        <v>237</v>
      </c>
      <c r="F40" s="28">
        <f>F41+F42</f>
        <v>172869</v>
      </c>
      <c r="G40" s="28">
        <f t="shared" ref="G40:P40" si="26">G41+G42</f>
        <v>172869</v>
      </c>
      <c r="H40" s="28">
        <f t="shared" si="26"/>
        <v>0</v>
      </c>
      <c r="I40" s="28">
        <f t="shared" si="26"/>
        <v>0</v>
      </c>
      <c r="J40" s="28">
        <f t="shared" si="26"/>
        <v>0</v>
      </c>
      <c r="K40" s="28">
        <f t="shared" si="26"/>
        <v>81358</v>
      </c>
      <c r="L40" s="28">
        <f t="shared" si="26"/>
        <v>81358</v>
      </c>
      <c r="M40" s="28">
        <f t="shared" si="26"/>
        <v>0</v>
      </c>
      <c r="N40" s="28">
        <f t="shared" si="26"/>
        <v>0</v>
      </c>
      <c r="O40" s="28">
        <f t="shared" si="26"/>
        <v>0</v>
      </c>
      <c r="P40" s="28">
        <f t="shared" si="26"/>
        <v>81358</v>
      </c>
      <c r="Q40" s="35">
        <f>K40+F40</f>
        <v>254227</v>
      </c>
      <c r="R40" s="27"/>
    </row>
    <row r="41" spans="1:18" s="29" customFormat="1" ht="64.5" customHeight="1">
      <c r="A41" s="27"/>
      <c r="B41" s="93" t="s">
        <v>235</v>
      </c>
      <c r="C41" s="94">
        <v>1181</v>
      </c>
      <c r="D41" s="93" t="s">
        <v>155</v>
      </c>
      <c r="E41" s="103" t="s">
        <v>238</v>
      </c>
      <c r="F41" s="28">
        <f>G41</f>
        <v>20000</v>
      </c>
      <c r="G41" s="39">
        <v>20000</v>
      </c>
      <c r="H41" s="96">
        <v>0</v>
      </c>
      <c r="I41" s="96">
        <v>0</v>
      </c>
      <c r="J41" s="35">
        <f t="shared" ref="J41:O41" si="27">J46</f>
        <v>0</v>
      </c>
      <c r="K41" s="35">
        <f>L41</f>
        <v>10000</v>
      </c>
      <c r="L41" s="92">
        <v>10000</v>
      </c>
      <c r="M41" s="35">
        <f t="shared" si="27"/>
        <v>0</v>
      </c>
      <c r="N41" s="35">
        <f t="shared" si="27"/>
        <v>0</v>
      </c>
      <c r="O41" s="35">
        <f t="shared" si="27"/>
        <v>0</v>
      </c>
      <c r="P41" s="35">
        <f>L41</f>
        <v>10000</v>
      </c>
      <c r="Q41" s="35">
        <f>K41+F41</f>
        <v>30000</v>
      </c>
      <c r="R41" s="27"/>
    </row>
    <row r="42" spans="1:18" s="29" customFormat="1" ht="48.75" customHeight="1">
      <c r="A42" s="27"/>
      <c r="B42" s="93" t="s">
        <v>236</v>
      </c>
      <c r="C42" s="94">
        <v>1182</v>
      </c>
      <c r="D42" s="93" t="s">
        <v>155</v>
      </c>
      <c r="E42" s="103" t="s">
        <v>239</v>
      </c>
      <c r="F42" s="28">
        <f t="shared" ref="F42:F43" si="28">G42</f>
        <v>152869</v>
      </c>
      <c r="G42" s="96">
        <f>G43</f>
        <v>152869</v>
      </c>
      <c r="H42" s="96">
        <f t="shared" ref="H42:I42" si="29">H43</f>
        <v>0</v>
      </c>
      <c r="I42" s="96">
        <f t="shared" si="29"/>
        <v>0</v>
      </c>
      <c r="J42" s="35">
        <f>J51</f>
        <v>0</v>
      </c>
      <c r="K42" s="35">
        <f>K43</f>
        <v>71358</v>
      </c>
      <c r="L42" s="35">
        <f>L43</f>
        <v>71358</v>
      </c>
      <c r="M42" s="35">
        <f t="shared" ref="M42:O43" si="30">M51</f>
        <v>0</v>
      </c>
      <c r="N42" s="35">
        <f t="shared" si="30"/>
        <v>0</v>
      </c>
      <c r="O42" s="35">
        <f t="shared" si="30"/>
        <v>0</v>
      </c>
      <c r="P42" s="35">
        <f>P43</f>
        <v>71358</v>
      </c>
      <c r="Q42" s="35">
        <f t="shared" si="24"/>
        <v>224227</v>
      </c>
      <c r="R42" s="27"/>
    </row>
    <row r="43" spans="1:18" s="41" customFormat="1" ht="55.5" customHeight="1">
      <c r="A43" s="40"/>
      <c r="B43" s="100"/>
      <c r="C43" s="159"/>
      <c r="D43" s="100"/>
      <c r="E43" s="89" t="s">
        <v>240</v>
      </c>
      <c r="F43" s="28">
        <f t="shared" si="28"/>
        <v>152869</v>
      </c>
      <c r="G43" s="31">
        <v>152869</v>
      </c>
      <c r="H43" s="99">
        <v>0</v>
      </c>
      <c r="I43" s="99">
        <v>0</v>
      </c>
      <c r="J43" s="5">
        <v>0</v>
      </c>
      <c r="K43" s="5">
        <f>L43</f>
        <v>71358</v>
      </c>
      <c r="L43" s="31">
        <v>71358</v>
      </c>
      <c r="M43" s="5">
        <f t="shared" si="30"/>
        <v>0</v>
      </c>
      <c r="N43" s="5">
        <f t="shared" si="30"/>
        <v>0</v>
      </c>
      <c r="O43" s="5">
        <f t="shared" si="30"/>
        <v>0</v>
      </c>
      <c r="P43" s="5">
        <f>L43</f>
        <v>71358</v>
      </c>
      <c r="Q43" s="5">
        <f t="shared" si="24"/>
        <v>224227</v>
      </c>
      <c r="R43" s="40"/>
    </row>
    <row r="44" spans="1:18" s="7" customFormat="1" ht="49.5" customHeight="1">
      <c r="A44" s="6"/>
      <c r="B44" s="87" t="s">
        <v>152</v>
      </c>
      <c r="C44" s="153">
        <v>1200</v>
      </c>
      <c r="D44" s="87" t="s">
        <v>155</v>
      </c>
      <c r="E44" s="88" t="s">
        <v>153</v>
      </c>
      <c r="F44" s="14">
        <f>G44</f>
        <v>190717</v>
      </c>
      <c r="G44" s="101">
        <f t="shared" ref="G44:P44" si="31">G45</f>
        <v>190717</v>
      </c>
      <c r="H44" s="101">
        <f t="shared" si="31"/>
        <v>101970</v>
      </c>
      <c r="I44" s="14">
        <f t="shared" si="31"/>
        <v>0</v>
      </c>
      <c r="J44" s="14">
        <f t="shared" si="31"/>
        <v>0</v>
      </c>
      <c r="K44" s="14">
        <f t="shared" si="31"/>
        <v>0</v>
      </c>
      <c r="L44" s="14">
        <f t="shared" si="31"/>
        <v>0</v>
      </c>
      <c r="M44" s="14">
        <f t="shared" si="31"/>
        <v>0</v>
      </c>
      <c r="N44" s="14">
        <f t="shared" si="31"/>
        <v>0</v>
      </c>
      <c r="O44" s="14">
        <f t="shared" si="31"/>
        <v>0</v>
      </c>
      <c r="P44" s="14">
        <f t="shared" si="31"/>
        <v>0</v>
      </c>
      <c r="Q44" s="14">
        <f t="shared" si="6"/>
        <v>190717</v>
      </c>
      <c r="R44" s="6"/>
    </row>
    <row r="45" spans="1:18" s="7" customFormat="1" ht="51.75" customHeight="1">
      <c r="A45" s="6"/>
      <c r="B45" s="153"/>
      <c r="C45" s="153"/>
      <c r="D45" s="153"/>
      <c r="E45" s="89" t="s">
        <v>184</v>
      </c>
      <c r="F45" s="5">
        <f>G45</f>
        <v>190717</v>
      </c>
      <c r="G45" s="30">
        <f>62197+128520</f>
        <v>190717</v>
      </c>
      <c r="H45" s="30">
        <f>40700+8550+52720</f>
        <v>101970</v>
      </c>
      <c r="I45" s="14">
        <f t="shared" ref="I45:P46" si="32">I51</f>
        <v>0</v>
      </c>
      <c r="J45" s="14">
        <f t="shared" si="32"/>
        <v>0</v>
      </c>
      <c r="K45" s="14">
        <f t="shared" si="32"/>
        <v>0</v>
      </c>
      <c r="L45" s="14">
        <f t="shared" si="32"/>
        <v>0</v>
      </c>
      <c r="M45" s="14">
        <f t="shared" si="32"/>
        <v>0</v>
      </c>
      <c r="N45" s="14">
        <f t="shared" si="32"/>
        <v>0</v>
      </c>
      <c r="O45" s="14">
        <f t="shared" si="32"/>
        <v>0</v>
      </c>
      <c r="P45" s="14">
        <f t="shared" si="32"/>
        <v>0</v>
      </c>
      <c r="Q45" s="14">
        <f t="shared" si="6"/>
        <v>190717</v>
      </c>
      <c r="R45" s="6"/>
    </row>
    <row r="46" spans="1:18" s="7" customFormat="1" ht="51.75" customHeight="1">
      <c r="A46" s="6"/>
      <c r="B46" s="153" t="s">
        <v>213</v>
      </c>
      <c r="C46" s="153" t="s">
        <v>214</v>
      </c>
      <c r="D46" s="153" t="s">
        <v>155</v>
      </c>
      <c r="E46" s="88" t="s">
        <v>215</v>
      </c>
      <c r="F46" s="14">
        <v>58110.7</v>
      </c>
      <c r="G46" s="30">
        <v>58110.7</v>
      </c>
      <c r="H46" s="30">
        <v>47630</v>
      </c>
      <c r="I46" s="14">
        <f t="shared" si="32"/>
        <v>0</v>
      </c>
      <c r="J46" s="14">
        <f t="shared" si="32"/>
        <v>0</v>
      </c>
      <c r="K46" s="14">
        <f t="shared" si="32"/>
        <v>0</v>
      </c>
      <c r="L46" s="14">
        <f t="shared" si="32"/>
        <v>0</v>
      </c>
      <c r="M46" s="14">
        <f t="shared" si="32"/>
        <v>0</v>
      </c>
      <c r="N46" s="14">
        <f t="shared" si="32"/>
        <v>0</v>
      </c>
      <c r="O46" s="14">
        <f t="shared" si="32"/>
        <v>0</v>
      </c>
      <c r="P46" s="14">
        <f t="shared" si="32"/>
        <v>0</v>
      </c>
      <c r="Q46" s="14">
        <f t="shared" ref="Q46" si="33">F46+K46</f>
        <v>58110.7</v>
      </c>
      <c r="R46" s="6"/>
    </row>
    <row r="47" spans="1:18" s="7" customFormat="1" ht="15" customHeight="1">
      <c r="A47" s="6"/>
      <c r="B47" s="169" t="s">
        <v>66</v>
      </c>
      <c r="C47" s="169" t="s">
        <v>67</v>
      </c>
      <c r="D47" s="169" t="s">
        <v>68</v>
      </c>
      <c r="E47" s="169" t="s">
        <v>69</v>
      </c>
      <c r="F47" s="167" t="s">
        <v>5</v>
      </c>
      <c r="G47" s="167"/>
      <c r="H47" s="167"/>
      <c r="I47" s="167"/>
      <c r="J47" s="167"/>
      <c r="K47" s="167" t="s">
        <v>2</v>
      </c>
      <c r="L47" s="167"/>
      <c r="M47" s="167"/>
      <c r="N47" s="167"/>
      <c r="O47" s="167"/>
      <c r="P47" s="167"/>
      <c r="Q47" s="167" t="s">
        <v>4</v>
      </c>
      <c r="R47" s="6"/>
    </row>
    <row r="48" spans="1:18" s="7" customFormat="1" ht="58.15" customHeight="1">
      <c r="A48" s="6"/>
      <c r="B48" s="169"/>
      <c r="C48" s="169"/>
      <c r="D48" s="169"/>
      <c r="E48" s="169"/>
      <c r="F48" s="167" t="s">
        <v>62</v>
      </c>
      <c r="G48" s="168" t="s">
        <v>6</v>
      </c>
      <c r="H48" s="169" t="s">
        <v>7</v>
      </c>
      <c r="I48" s="169"/>
      <c r="J48" s="168" t="s">
        <v>8</v>
      </c>
      <c r="K48" s="167" t="s">
        <v>62</v>
      </c>
      <c r="L48" s="168" t="s">
        <v>63</v>
      </c>
      <c r="M48" s="168" t="s">
        <v>6</v>
      </c>
      <c r="N48" s="169" t="s">
        <v>7</v>
      </c>
      <c r="O48" s="169"/>
      <c r="P48" s="168" t="s">
        <v>8</v>
      </c>
      <c r="Q48" s="167"/>
      <c r="R48" s="6"/>
    </row>
    <row r="49" spans="1:19" s="7" customFormat="1" ht="33" customHeight="1">
      <c r="A49" s="6"/>
      <c r="B49" s="169"/>
      <c r="C49" s="169"/>
      <c r="D49" s="169"/>
      <c r="E49" s="169"/>
      <c r="F49" s="167"/>
      <c r="G49" s="168"/>
      <c r="H49" s="153" t="s">
        <v>9</v>
      </c>
      <c r="I49" s="153" t="s">
        <v>10</v>
      </c>
      <c r="J49" s="168"/>
      <c r="K49" s="167"/>
      <c r="L49" s="168"/>
      <c r="M49" s="168"/>
      <c r="N49" s="153" t="s">
        <v>9</v>
      </c>
      <c r="O49" s="153" t="s">
        <v>10</v>
      </c>
      <c r="P49" s="168"/>
      <c r="Q49" s="167"/>
      <c r="R49" s="6"/>
    </row>
    <row r="50" spans="1:19" s="7" customFormat="1" ht="13.5" customHeight="1">
      <c r="A50" s="6"/>
      <c r="B50" s="153">
        <v>1</v>
      </c>
      <c r="C50" s="153">
        <v>2</v>
      </c>
      <c r="D50" s="153">
        <v>3</v>
      </c>
      <c r="E50" s="153">
        <v>4</v>
      </c>
      <c r="F50" s="151">
        <v>5</v>
      </c>
      <c r="G50" s="152">
        <v>6</v>
      </c>
      <c r="H50" s="153">
        <v>7</v>
      </c>
      <c r="I50" s="153">
        <v>8</v>
      </c>
      <c r="J50" s="152">
        <v>9</v>
      </c>
      <c r="K50" s="151">
        <v>10</v>
      </c>
      <c r="L50" s="152">
        <v>11</v>
      </c>
      <c r="M50" s="152">
        <v>12</v>
      </c>
      <c r="N50" s="153">
        <v>13</v>
      </c>
      <c r="O50" s="153">
        <v>14</v>
      </c>
      <c r="P50" s="152">
        <v>15</v>
      </c>
      <c r="Q50" s="151">
        <v>16</v>
      </c>
      <c r="R50" s="6"/>
    </row>
    <row r="51" spans="1:19" s="7" customFormat="1" ht="16.149999999999999" customHeight="1">
      <c r="A51" s="6"/>
      <c r="B51" s="151"/>
      <c r="C51" s="151">
        <v>2000</v>
      </c>
      <c r="D51" s="151"/>
      <c r="E51" s="102" t="s">
        <v>86</v>
      </c>
      <c r="F51" s="51">
        <f t="shared" ref="F51:Q51" si="34">F52+F56+F60</f>
        <v>1589512</v>
      </c>
      <c r="G51" s="51">
        <f t="shared" si="34"/>
        <v>1589512</v>
      </c>
      <c r="H51" s="51">
        <f t="shared" si="34"/>
        <v>0</v>
      </c>
      <c r="I51" s="51">
        <f t="shared" si="34"/>
        <v>0</v>
      </c>
      <c r="J51" s="51">
        <f t="shared" si="34"/>
        <v>0</v>
      </c>
      <c r="K51" s="51">
        <f t="shared" si="34"/>
        <v>0</v>
      </c>
      <c r="L51" s="51">
        <f t="shared" si="34"/>
        <v>0</v>
      </c>
      <c r="M51" s="51">
        <f t="shared" si="34"/>
        <v>0</v>
      </c>
      <c r="N51" s="51">
        <f t="shared" si="34"/>
        <v>0</v>
      </c>
      <c r="O51" s="51">
        <f t="shared" si="34"/>
        <v>0</v>
      </c>
      <c r="P51" s="51">
        <f t="shared" si="34"/>
        <v>0</v>
      </c>
      <c r="Q51" s="51">
        <f t="shared" si="34"/>
        <v>1589512</v>
      </c>
      <c r="R51" s="6"/>
    </row>
    <row r="52" spans="1:19" s="7" customFormat="1" ht="16.149999999999999" customHeight="1">
      <c r="A52" s="6"/>
      <c r="B52" s="87" t="s">
        <v>89</v>
      </c>
      <c r="C52" s="153">
        <v>2110</v>
      </c>
      <c r="D52" s="153"/>
      <c r="E52" s="88" t="s">
        <v>24</v>
      </c>
      <c r="F52" s="14">
        <f t="shared" si="23"/>
        <v>913000</v>
      </c>
      <c r="G52" s="14">
        <f t="shared" si="23"/>
        <v>913000</v>
      </c>
      <c r="H52" s="14">
        <f t="shared" si="23"/>
        <v>0</v>
      </c>
      <c r="I52" s="14">
        <f t="shared" si="23"/>
        <v>0</v>
      </c>
      <c r="J52" s="14">
        <f t="shared" si="23"/>
        <v>0</v>
      </c>
      <c r="K52" s="14">
        <f t="shared" si="23"/>
        <v>0</v>
      </c>
      <c r="L52" s="14">
        <f t="shared" si="23"/>
        <v>0</v>
      </c>
      <c r="M52" s="5">
        <v>0</v>
      </c>
      <c r="N52" s="14">
        <f t="shared" si="23"/>
        <v>0</v>
      </c>
      <c r="O52" s="14">
        <f t="shared" si="23"/>
        <v>0</v>
      </c>
      <c r="P52" s="14">
        <f t="shared" si="23"/>
        <v>0</v>
      </c>
      <c r="Q52" s="14">
        <f t="shared" si="6"/>
        <v>913000</v>
      </c>
      <c r="R52" s="6"/>
    </row>
    <row r="53" spans="1:19" s="7" customFormat="1" ht="37.5" customHeight="1">
      <c r="A53" s="6"/>
      <c r="B53" s="87" t="s">
        <v>25</v>
      </c>
      <c r="C53" s="153">
        <v>2111</v>
      </c>
      <c r="D53" s="153" t="s">
        <v>26</v>
      </c>
      <c r="E53" s="88" t="s">
        <v>27</v>
      </c>
      <c r="F53" s="14">
        <f>G53</f>
        <v>913000</v>
      </c>
      <c r="G53" s="14">
        <f>G54+G55</f>
        <v>913000</v>
      </c>
      <c r="H53" s="14">
        <f>H54</f>
        <v>0</v>
      </c>
      <c r="I53" s="14">
        <f t="shared" si="23"/>
        <v>0</v>
      </c>
      <c r="J53" s="14">
        <f t="shared" si="23"/>
        <v>0</v>
      </c>
      <c r="K53" s="14">
        <f t="shared" si="23"/>
        <v>0</v>
      </c>
      <c r="L53" s="14">
        <f t="shared" si="23"/>
        <v>0</v>
      </c>
      <c r="M53" s="14">
        <f t="shared" si="23"/>
        <v>0</v>
      </c>
      <c r="N53" s="14">
        <f t="shared" si="23"/>
        <v>0</v>
      </c>
      <c r="O53" s="14">
        <f t="shared" si="23"/>
        <v>0</v>
      </c>
      <c r="P53" s="14">
        <f t="shared" si="23"/>
        <v>0</v>
      </c>
      <c r="Q53" s="14">
        <f t="shared" si="6"/>
        <v>913000</v>
      </c>
      <c r="R53" s="6"/>
    </row>
    <row r="54" spans="1:19" s="7" customFormat="1" ht="18" customHeight="1">
      <c r="A54" s="6"/>
      <c r="B54" s="153"/>
      <c r="C54" s="153"/>
      <c r="D54" s="153"/>
      <c r="E54" s="89" t="s">
        <v>19</v>
      </c>
      <c r="F54" s="5">
        <f>G54</f>
        <v>863000</v>
      </c>
      <c r="G54" s="31">
        <f>813000+50000</f>
        <v>863000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863000</v>
      </c>
      <c r="R54" s="6"/>
    </row>
    <row r="55" spans="1:19" s="29" customFormat="1" ht="61.5" customHeight="1">
      <c r="A55" s="27"/>
      <c r="B55" s="94"/>
      <c r="C55" s="94"/>
      <c r="D55" s="94"/>
      <c r="E55" s="91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35">
        <f>G55</f>
        <v>50000</v>
      </c>
      <c r="G55" s="92">
        <v>50000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50000</v>
      </c>
      <c r="R55" s="27"/>
    </row>
    <row r="56" spans="1:19" s="29" customFormat="1" ht="30.75" customHeight="1">
      <c r="A56" s="27"/>
      <c r="B56" s="93" t="s">
        <v>159</v>
      </c>
      <c r="C56" s="94"/>
      <c r="D56" s="94"/>
      <c r="E56" s="103" t="s">
        <v>160</v>
      </c>
      <c r="F56" s="35">
        <f>F57</f>
        <v>476512</v>
      </c>
      <c r="G56" s="97">
        <f>G57</f>
        <v>476512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f t="shared" ref="Q56" si="35">F56+K56</f>
        <v>476512</v>
      </c>
      <c r="R56" s="27"/>
    </row>
    <row r="57" spans="1:19" s="29" customFormat="1" ht="28.5" customHeight="1">
      <c r="A57" s="27"/>
      <c r="B57" s="93" t="s">
        <v>158</v>
      </c>
      <c r="C57" s="94">
        <v>2144</v>
      </c>
      <c r="D57" s="93" t="s">
        <v>162</v>
      </c>
      <c r="E57" s="103" t="s">
        <v>161</v>
      </c>
      <c r="F57" s="35">
        <f>G57</f>
        <v>476512</v>
      </c>
      <c r="G57" s="97">
        <f>G58+G59</f>
        <v>476512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>F57+K57</f>
        <v>476512</v>
      </c>
      <c r="R57" s="27"/>
    </row>
    <row r="58" spans="1:19" s="29" customFormat="1" ht="13.5" hidden="1" customHeight="1">
      <c r="A58" s="27"/>
      <c r="B58" s="93"/>
      <c r="C58" s="94"/>
      <c r="D58" s="94"/>
      <c r="E58" s="91" t="str">
        <f>E54</f>
        <v>в т.ч.  за рахунок коштів місцевого бюджету</v>
      </c>
      <c r="F58" s="35">
        <f>G58</f>
        <v>0</v>
      </c>
      <c r="G58" s="92">
        <f>90000-40000-50000</f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f>F58+K58</f>
        <v>0</v>
      </c>
      <c r="R58" s="27"/>
    </row>
    <row r="59" spans="1:19" s="29" customFormat="1" ht="53.25" customHeight="1">
      <c r="A59" s="27"/>
      <c r="B59" s="94"/>
      <c r="C59" s="94"/>
      <c r="D59" s="94"/>
      <c r="E59" s="91" t="s">
        <v>163</v>
      </c>
      <c r="F59" s="35">
        <f>G59</f>
        <v>476512</v>
      </c>
      <c r="G59" s="92">
        <f>359126+117386</f>
        <v>476512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>F59+K59</f>
        <v>476512</v>
      </c>
      <c r="R59" s="27"/>
    </row>
    <row r="60" spans="1:19" s="29" customFormat="1" ht="37.5" customHeight="1">
      <c r="A60" s="27"/>
      <c r="B60" s="93" t="s">
        <v>164</v>
      </c>
      <c r="C60" s="94"/>
      <c r="D60" s="94"/>
      <c r="E60" s="103" t="s">
        <v>166</v>
      </c>
      <c r="F60" s="35">
        <f>G60</f>
        <v>200000</v>
      </c>
      <c r="G60" s="97">
        <f>G61</f>
        <v>200000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ref="Q60:Q61" si="36">F60+K60</f>
        <v>200000</v>
      </c>
      <c r="R60" s="27"/>
    </row>
    <row r="61" spans="1:19" s="29" customFormat="1" ht="21" customHeight="1">
      <c r="A61" s="27"/>
      <c r="B61" s="93" t="s">
        <v>165</v>
      </c>
      <c r="C61" s="94">
        <v>2144</v>
      </c>
      <c r="D61" s="93" t="s">
        <v>162</v>
      </c>
      <c r="E61" s="103" t="s">
        <v>167</v>
      </c>
      <c r="F61" s="35">
        <f>G61</f>
        <v>200000</v>
      </c>
      <c r="G61" s="92">
        <v>200000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f t="shared" si="36"/>
        <v>200000</v>
      </c>
      <c r="R61" s="27"/>
    </row>
    <row r="62" spans="1:19" s="43" customFormat="1" ht="30" customHeight="1">
      <c r="A62" s="42"/>
      <c r="B62" s="104"/>
      <c r="C62" s="105">
        <v>3000</v>
      </c>
      <c r="D62" s="105"/>
      <c r="E62" s="102" t="s">
        <v>87</v>
      </c>
      <c r="F62" s="106">
        <f t="shared" ref="F62:Q62" si="37">F63+F75+F77+F81+F78+F67+F69+F80</f>
        <v>2898402</v>
      </c>
      <c r="G62" s="106">
        <f t="shared" si="37"/>
        <v>2898402</v>
      </c>
      <c r="H62" s="106">
        <f t="shared" si="37"/>
        <v>1670000</v>
      </c>
      <c r="I62" s="106">
        <f t="shared" si="37"/>
        <v>80000</v>
      </c>
      <c r="J62" s="106">
        <f t="shared" si="37"/>
        <v>0</v>
      </c>
      <c r="K62" s="106">
        <f t="shared" si="37"/>
        <v>3000</v>
      </c>
      <c r="L62" s="106">
        <f t="shared" si="37"/>
        <v>0</v>
      </c>
      <c r="M62" s="106">
        <f t="shared" si="37"/>
        <v>3000</v>
      </c>
      <c r="N62" s="106">
        <f t="shared" si="37"/>
        <v>0</v>
      </c>
      <c r="O62" s="106">
        <f t="shared" si="37"/>
        <v>0</v>
      </c>
      <c r="P62" s="106">
        <f t="shared" si="37"/>
        <v>0</v>
      </c>
      <c r="Q62" s="106">
        <f t="shared" si="37"/>
        <v>2901402</v>
      </c>
      <c r="R62" s="42"/>
    </row>
    <row r="63" spans="1:19" s="7" customFormat="1" ht="51.75" customHeight="1">
      <c r="A63" s="6"/>
      <c r="B63" s="87" t="s">
        <v>90</v>
      </c>
      <c r="C63" s="87" t="s">
        <v>91</v>
      </c>
      <c r="D63" s="87"/>
      <c r="E63" s="88" t="s">
        <v>92</v>
      </c>
      <c r="F63" s="5">
        <f>F64+F66+F65</f>
        <v>220000</v>
      </c>
      <c r="G63" s="5">
        <f t="shared" ref="G63:Q63" si="38">G64+G66+G65</f>
        <v>220000</v>
      </c>
      <c r="H63" s="5">
        <f t="shared" si="38"/>
        <v>0</v>
      </c>
      <c r="I63" s="5">
        <f t="shared" si="38"/>
        <v>0</v>
      </c>
      <c r="J63" s="5">
        <f t="shared" si="38"/>
        <v>0</v>
      </c>
      <c r="K63" s="5">
        <f t="shared" si="38"/>
        <v>0</v>
      </c>
      <c r="L63" s="5">
        <f t="shared" si="38"/>
        <v>0</v>
      </c>
      <c r="M63" s="5">
        <f t="shared" si="38"/>
        <v>0</v>
      </c>
      <c r="N63" s="5">
        <f t="shared" si="38"/>
        <v>0</v>
      </c>
      <c r="O63" s="5">
        <f t="shared" si="38"/>
        <v>0</v>
      </c>
      <c r="P63" s="5">
        <f t="shared" si="38"/>
        <v>0</v>
      </c>
      <c r="Q63" s="5">
        <f t="shared" si="38"/>
        <v>220000</v>
      </c>
      <c r="R63" s="16">
        <f t="shared" ref="R63:S63" si="39">R64+R66</f>
        <v>0</v>
      </c>
      <c r="S63" s="15">
        <f t="shared" si="39"/>
        <v>0</v>
      </c>
    </row>
    <row r="64" spans="1:19" s="7" customFormat="1" ht="23.45" customHeight="1">
      <c r="A64" s="6"/>
      <c r="B64" s="87" t="s">
        <v>93</v>
      </c>
      <c r="C64" s="87" t="s">
        <v>94</v>
      </c>
      <c r="D64" s="87" t="s">
        <v>95</v>
      </c>
      <c r="E64" s="88" t="s">
        <v>96</v>
      </c>
      <c r="F64" s="5">
        <f>G64</f>
        <v>20000</v>
      </c>
      <c r="G64" s="31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4">
        <f t="shared" si="6"/>
        <v>20000</v>
      </c>
      <c r="R64" s="6"/>
    </row>
    <row r="65" spans="1:18" s="7" customFormat="1" ht="34.5" customHeight="1">
      <c r="A65" s="6"/>
      <c r="B65" s="87" t="s">
        <v>142</v>
      </c>
      <c r="C65" s="87" t="s">
        <v>140</v>
      </c>
      <c r="D65" s="87" t="s">
        <v>95</v>
      </c>
      <c r="E65" s="88" t="s">
        <v>141</v>
      </c>
      <c r="F65" s="5">
        <f>G65</f>
        <v>150000</v>
      </c>
      <c r="G65" s="31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4">
        <f t="shared" si="6"/>
        <v>150000</v>
      </c>
      <c r="R65" s="6"/>
    </row>
    <row r="66" spans="1:18" s="7" customFormat="1" ht="36.75" customHeight="1">
      <c r="A66" s="6"/>
      <c r="B66" s="87" t="s">
        <v>97</v>
      </c>
      <c r="C66" s="87" t="s">
        <v>98</v>
      </c>
      <c r="D66" s="87" t="s">
        <v>95</v>
      </c>
      <c r="E66" s="107" t="s">
        <v>99</v>
      </c>
      <c r="F66" s="5">
        <f>G66</f>
        <v>50000</v>
      </c>
      <c r="G66" s="31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4">
        <f t="shared" si="6"/>
        <v>50000</v>
      </c>
      <c r="R66" s="6"/>
    </row>
    <row r="67" spans="1:18" s="7" customFormat="1" ht="34.5" customHeight="1">
      <c r="A67" s="6"/>
      <c r="B67" s="87" t="s">
        <v>170</v>
      </c>
      <c r="C67" s="87" t="s">
        <v>168</v>
      </c>
      <c r="D67" s="87" t="s">
        <v>95</v>
      </c>
      <c r="E67" s="107" t="s">
        <v>171</v>
      </c>
      <c r="F67" s="5">
        <f>G67</f>
        <v>81432</v>
      </c>
      <c r="G67" s="99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4">
        <f t="shared" ref="Q67:Q74" si="40">F67+K67</f>
        <v>81432</v>
      </c>
      <c r="R67" s="6"/>
    </row>
    <row r="68" spans="1:18" s="7" customFormat="1" ht="27" customHeight="1">
      <c r="A68" s="6"/>
      <c r="B68" s="87"/>
      <c r="C68" s="87"/>
      <c r="D68" s="87"/>
      <c r="E68" s="108" t="str">
        <f>E39</f>
        <v>в. т.ч.  за рахунок субвенції з інших місцевих бюджетів</v>
      </c>
      <c r="F68" s="5">
        <f t="shared" ref="F68:F74" si="41">G68</f>
        <v>81432</v>
      </c>
      <c r="G68" s="31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4">
        <f t="shared" si="40"/>
        <v>81432</v>
      </c>
      <c r="R68" s="6"/>
    </row>
    <row r="69" spans="1:18" s="7" customFormat="1" ht="30.75" customHeight="1">
      <c r="A69" s="6"/>
      <c r="B69" s="87" t="s">
        <v>173</v>
      </c>
      <c r="C69" s="87" t="s">
        <v>169</v>
      </c>
      <c r="D69" s="87" t="s">
        <v>95</v>
      </c>
      <c r="E69" s="107" t="s">
        <v>172</v>
      </c>
      <c r="F69" s="5">
        <f t="shared" si="41"/>
        <v>8148</v>
      </c>
      <c r="G69" s="99">
        <f>G74</f>
        <v>8148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4">
        <f t="shared" si="40"/>
        <v>8148</v>
      </c>
      <c r="R69" s="6"/>
    </row>
    <row r="70" spans="1:18" s="7" customFormat="1" ht="22.5" customHeight="1">
      <c r="A70" s="6"/>
      <c r="B70" s="169" t="s">
        <v>66</v>
      </c>
      <c r="C70" s="169" t="s">
        <v>67</v>
      </c>
      <c r="D70" s="169" t="s">
        <v>68</v>
      </c>
      <c r="E70" s="169" t="s">
        <v>69</v>
      </c>
      <c r="F70" s="167" t="s">
        <v>5</v>
      </c>
      <c r="G70" s="167"/>
      <c r="H70" s="167"/>
      <c r="I70" s="167"/>
      <c r="J70" s="167"/>
      <c r="K70" s="167" t="s">
        <v>2</v>
      </c>
      <c r="L70" s="167"/>
      <c r="M70" s="167"/>
      <c r="N70" s="167"/>
      <c r="O70" s="167"/>
      <c r="P70" s="167"/>
      <c r="Q70" s="167" t="s">
        <v>4</v>
      </c>
      <c r="R70" s="6"/>
    </row>
    <row r="71" spans="1:18" s="7" customFormat="1" ht="18" customHeight="1">
      <c r="A71" s="6"/>
      <c r="B71" s="169"/>
      <c r="C71" s="169"/>
      <c r="D71" s="169"/>
      <c r="E71" s="169"/>
      <c r="F71" s="167" t="s">
        <v>62</v>
      </c>
      <c r="G71" s="168" t="s">
        <v>6</v>
      </c>
      <c r="H71" s="169" t="s">
        <v>7</v>
      </c>
      <c r="I71" s="169"/>
      <c r="J71" s="168" t="s">
        <v>8</v>
      </c>
      <c r="K71" s="167" t="s">
        <v>62</v>
      </c>
      <c r="L71" s="168" t="s">
        <v>63</v>
      </c>
      <c r="M71" s="168" t="s">
        <v>6</v>
      </c>
      <c r="N71" s="169" t="s">
        <v>7</v>
      </c>
      <c r="O71" s="169"/>
      <c r="P71" s="168" t="s">
        <v>8</v>
      </c>
      <c r="Q71" s="167"/>
      <c r="R71" s="6"/>
    </row>
    <row r="72" spans="1:18" s="7" customFormat="1" ht="103.5" customHeight="1">
      <c r="A72" s="6"/>
      <c r="B72" s="169"/>
      <c r="C72" s="169"/>
      <c r="D72" s="169"/>
      <c r="E72" s="169"/>
      <c r="F72" s="167"/>
      <c r="G72" s="168"/>
      <c r="H72" s="153" t="s">
        <v>9</v>
      </c>
      <c r="I72" s="153" t="s">
        <v>10</v>
      </c>
      <c r="J72" s="168"/>
      <c r="K72" s="167"/>
      <c r="L72" s="168"/>
      <c r="M72" s="168"/>
      <c r="N72" s="153" t="s">
        <v>9</v>
      </c>
      <c r="O72" s="153" t="s">
        <v>10</v>
      </c>
      <c r="P72" s="168"/>
      <c r="Q72" s="167"/>
      <c r="R72" s="6"/>
    </row>
    <row r="73" spans="1:18" s="7" customFormat="1" ht="14.25" customHeight="1">
      <c r="A73" s="6"/>
      <c r="B73" s="153">
        <v>1</v>
      </c>
      <c r="C73" s="153">
        <v>2</v>
      </c>
      <c r="D73" s="153">
        <v>3</v>
      </c>
      <c r="E73" s="153">
        <v>4</v>
      </c>
      <c r="F73" s="151">
        <v>5</v>
      </c>
      <c r="G73" s="152">
        <v>6</v>
      </c>
      <c r="H73" s="153">
        <v>7</v>
      </c>
      <c r="I73" s="153">
        <v>8</v>
      </c>
      <c r="J73" s="152">
        <v>9</v>
      </c>
      <c r="K73" s="151">
        <v>10</v>
      </c>
      <c r="L73" s="152">
        <v>11</v>
      </c>
      <c r="M73" s="152">
        <v>12</v>
      </c>
      <c r="N73" s="153">
        <v>13</v>
      </c>
      <c r="O73" s="153">
        <v>14</v>
      </c>
      <c r="P73" s="152">
        <v>15</v>
      </c>
      <c r="Q73" s="151">
        <v>16</v>
      </c>
      <c r="R73" s="6"/>
    </row>
    <row r="74" spans="1:18" s="7" customFormat="1" ht="27.75" customHeight="1">
      <c r="A74" s="6"/>
      <c r="B74" s="87"/>
      <c r="C74" s="87"/>
      <c r="D74" s="87"/>
      <c r="E74" s="108" t="str">
        <f>E68</f>
        <v>в. т.ч.  за рахунок субвенції з інших місцевих бюджетів</v>
      </c>
      <c r="F74" s="5">
        <f t="shared" si="41"/>
        <v>8148</v>
      </c>
      <c r="G74" s="31">
        <v>8148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4">
        <f t="shared" si="40"/>
        <v>8148</v>
      </c>
      <c r="R74" s="6"/>
    </row>
    <row r="75" spans="1:18" s="21" customFormat="1" ht="52.5" customHeight="1">
      <c r="A75" s="20"/>
      <c r="B75" s="109" t="s">
        <v>28</v>
      </c>
      <c r="C75" s="151" t="s">
        <v>29</v>
      </c>
      <c r="D75" s="151" t="s">
        <v>3</v>
      </c>
      <c r="E75" s="76" t="s">
        <v>30</v>
      </c>
      <c r="F75" s="51">
        <f t="shared" ref="F75:K75" si="42">F76</f>
        <v>2159000</v>
      </c>
      <c r="G75" s="51">
        <f t="shared" si="42"/>
        <v>2159000</v>
      </c>
      <c r="H75" s="51">
        <f t="shared" si="42"/>
        <v>1640000</v>
      </c>
      <c r="I75" s="51">
        <f t="shared" si="42"/>
        <v>80000</v>
      </c>
      <c r="J75" s="51">
        <f t="shared" si="42"/>
        <v>0</v>
      </c>
      <c r="K75" s="51">
        <f t="shared" si="42"/>
        <v>3000</v>
      </c>
      <c r="L75" s="51">
        <v>0</v>
      </c>
      <c r="M75" s="51">
        <f>M76</f>
        <v>3000</v>
      </c>
      <c r="N75" s="51">
        <f>N76</f>
        <v>0</v>
      </c>
      <c r="O75" s="51">
        <f>O76</f>
        <v>0</v>
      </c>
      <c r="P75" s="51">
        <f>P76</f>
        <v>0</v>
      </c>
      <c r="Q75" s="51">
        <f t="shared" si="6"/>
        <v>2162000</v>
      </c>
      <c r="R75" s="20"/>
    </row>
    <row r="76" spans="1:18" s="7" customFormat="1" ht="51.75" customHeight="1">
      <c r="A76" s="6"/>
      <c r="B76" s="87" t="s">
        <v>31</v>
      </c>
      <c r="C76" s="153" t="s">
        <v>32</v>
      </c>
      <c r="D76" s="153" t="s">
        <v>21</v>
      </c>
      <c r="E76" s="88" t="s">
        <v>33</v>
      </c>
      <c r="F76" s="14">
        <f>G76</f>
        <v>2159000</v>
      </c>
      <c r="G76" s="30">
        <v>2159000</v>
      </c>
      <c r="H76" s="30">
        <v>1640000</v>
      </c>
      <c r="I76" s="30">
        <v>80000</v>
      </c>
      <c r="J76" s="14">
        <v>0</v>
      </c>
      <c r="K76" s="14">
        <f>M76</f>
        <v>3000</v>
      </c>
      <c r="L76" s="14">
        <v>0</v>
      </c>
      <c r="M76" s="30">
        <v>3000</v>
      </c>
      <c r="N76" s="14">
        <v>0</v>
      </c>
      <c r="O76" s="14">
        <v>0</v>
      </c>
      <c r="P76" s="14">
        <v>0</v>
      </c>
      <c r="Q76" s="14">
        <f>F76+K76</f>
        <v>2162000</v>
      </c>
      <c r="R76" s="6"/>
    </row>
    <row r="77" spans="1:18" s="12" customFormat="1" ht="57.75" customHeight="1">
      <c r="A77" s="10"/>
      <c r="B77" s="78" t="s">
        <v>100</v>
      </c>
      <c r="C77" s="78" t="s">
        <v>101</v>
      </c>
      <c r="D77" s="78" t="s">
        <v>16</v>
      </c>
      <c r="E77" s="79" t="s">
        <v>102</v>
      </c>
      <c r="F77" s="46">
        <f>G77</f>
        <v>220000</v>
      </c>
      <c r="G77" s="80">
        <v>220000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14">
        <f>F77+K77</f>
        <v>220000</v>
      </c>
      <c r="R77" s="10"/>
    </row>
    <row r="78" spans="1:18" s="12" customFormat="1" ht="50.25" customHeight="1">
      <c r="A78" s="10"/>
      <c r="B78" s="110" t="s">
        <v>174</v>
      </c>
      <c r="C78" s="78">
        <v>3171</v>
      </c>
      <c r="D78" s="78">
        <v>1010</v>
      </c>
      <c r="E78" s="79" t="s">
        <v>175</v>
      </c>
      <c r="F78" s="46">
        <f>F79</f>
        <v>3222</v>
      </c>
      <c r="G78" s="111">
        <f>G79</f>
        <v>3222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14">
        <f t="shared" ref="Q78:Q79" si="43">F78+K78</f>
        <v>3222</v>
      </c>
      <c r="R78" s="10"/>
    </row>
    <row r="79" spans="1:18" s="45" customFormat="1" ht="30.75" customHeight="1">
      <c r="A79" s="44"/>
      <c r="B79" s="112"/>
      <c r="C79" s="112"/>
      <c r="D79" s="112"/>
      <c r="E79" s="113" t="str">
        <f>E68</f>
        <v>в. т.ч.  за рахунок субвенції з інших місцевих бюджетів</v>
      </c>
      <c r="F79" s="114">
        <f>G79</f>
        <v>3222</v>
      </c>
      <c r="G79" s="115">
        <f>1884+1338</f>
        <v>3222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14">
        <f t="shared" si="43"/>
        <v>3222</v>
      </c>
      <c r="R79" s="44"/>
    </row>
    <row r="80" spans="1:18" s="29" customFormat="1" ht="21.75" customHeight="1">
      <c r="A80" s="27"/>
      <c r="B80" s="94" t="s">
        <v>197</v>
      </c>
      <c r="C80" s="94">
        <v>3210</v>
      </c>
      <c r="D80" s="116">
        <v>1050</v>
      </c>
      <c r="E80" s="103" t="s">
        <v>198</v>
      </c>
      <c r="F80" s="28">
        <f>G80</f>
        <v>36600</v>
      </c>
      <c r="G80" s="39">
        <v>36600</v>
      </c>
      <c r="H80" s="39">
        <v>30000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f>F80+K80</f>
        <v>36600</v>
      </c>
      <c r="R80" s="27"/>
    </row>
    <row r="81" spans="1:19" s="7" customFormat="1" ht="17.25" customHeight="1">
      <c r="A81" s="6"/>
      <c r="B81" s="87" t="s">
        <v>34</v>
      </c>
      <c r="C81" s="153">
        <v>3240</v>
      </c>
      <c r="D81" s="117"/>
      <c r="E81" s="88" t="s">
        <v>35</v>
      </c>
      <c r="F81" s="14">
        <f>F82</f>
        <v>170000</v>
      </c>
      <c r="G81" s="14">
        <f>G82</f>
        <v>170000</v>
      </c>
      <c r="H81" s="14">
        <f t="shared" ref="H81:P81" si="44">H82</f>
        <v>0</v>
      </c>
      <c r="I81" s="14">
        <f t="shared" si="44"/>
        <v>0</v>
      </c>
      <c r="J81" s="14">
        <f t="shared" si="44"/>
        <v>0</v>
      </c>
      <c r="K81" s="14">
        <f t="shared" si="44"/>
        <v>0</v>
      </c>
      <c r="L81" s="14">
        <v>0</v>
      </c>
      <c r="M81" s="14">
        <v>0</v>
      </c>
      <c r="N81" s="14">
        <f t="shared" si="44"/>
        <v>0</v>
      </c>
      <c r="O81" s="14">
        <f t="shared" si="44"/>
        <v>0</v>
      </c>
      <c r="P81" s="14">
        <f t="shared" si="44"/>
        <v>0</v>
      </c>
      <c r="Q81" s="14">
        <f t="shared" si="6"/>
        <v>170000</v>
      </c>
      <c r="R81" s="6"/>
    </row>
    <row r="82" spans="1:19" s="7" customFormat="1" ht="25.5" customHeight="1">
      <c r="A82" s="6"/>
      <c r="B82" s="87" t="s">
        <v>36</v>
      </c>
      <c r="C82" s="153">
        <v>3242</v>
      </c>
      <c r="D82" s="153" t="s">
        <v>37</v>
      </c>
      <c r="E82" s="88" t="s">
        <v>38</v>
      </c>
      <c r="F82" s="14">
        <f>G82</f>
        <v>170000</v>
      </c>
      <c r="G82" s="30">
        <f>120000+50000</f>
        <v>170000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F82+K82</f>
        <v>170000</v>
      </c>
      <c r="R82" s="6"/>
    </row>
    <row r="83" spans="1:19" s="7" customFormat="1" ht="18" customHeight="1">
      <c r="A83" s="6"/>
      <c r="B83" s="109"/>
      <c r="C83" s="151">
        <v>4000</v>
      </c>
      <c r="D83" s="151"/>
      <c r="E83" s="76" t="s">
        <v>103</v>
      </c>
      <c r="F83" s="51">
        <f t="shared" ref="F83:Q83" si="45">F84+F85+F87</f>
        <v>3060000</v>
      </c>
      <c r="G83" s="51">
        <f t="shared" si="45"/>
        <v>3060000</v>
      </c>
      <c r="H83" s="51">
        <f t="shared" si="45"/>
        <v>1930000</v>
      </c>
      <c r="I83" s="51">
        <f>I84+I85+I87</f>
        <v>408000</v>
      </c>
      <c r="J83" s="51">
        <f t="shared" si="45"/>
        <v>0</v>
      </c>
      <c r="K83" s="51">
        <f t="shared" si="45"/>
        <v>105000</v>
      </c>
      <c r="L83" s="51">
        <f t="shared" si="45"/>
        <v>20000</v>
      </c>
      <c r="M83" s="51">
        <f>M84+M85+M87</f>
        <v>85000</v>
      </c>
      <c r="N83" s="51">
        <f t="shared" si="45"/>
        <v>10000</v>
      </c>
      <c r="O83" s="51">
        <f t="shared" si="45"/>
        <v>0</v>
      </c>
      <c r="P83" s="51">
        <f t="shared" si="45"/>
        <v>20000</v>
      </c>
      <c r="Q83" s="51">
        <f t="shared" si="45"/>
        <v>3165000</v>
      </c>
      <c r="R83" s="6"/>
    </row>
    <row r="84" spans="1:19" s="7" customFormat="1" ht="20.45" customHeight="1">
      <c r="A84" s="6"/>
      <c r="B84" s="87" t="s">
        <v>39</v>
      </c>
      <c r="C84" s="94">
        <v>4030</v>
      </c>
      <c r="D84" s="87" t="s">
        <v>40</v>
      </c>
      <c r="E84" s="88" t="s">
        <v>41</v>
      </c>
      <c r="F84" s="14">
        <f>G84</f>
        <v>365000</v>
      </c>
      <c r="G84" s="30">
        <v>365000</v>
      </c>
      <c r="H84" s="30">
        <v>240000</v>
      </c>
      <c r="I84" s="30">
        <f>45000+3000</f>
        <v>48000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 t="shared" si="6"/>
        <v>365000</v>
      </c>
      <c r="R84" s="6"/>
    </row>
    <row r="85" spans="1:19" s="7" customFormat="1" ht="25.5" customHeight="1">
      <c r="A85" s="6"/>
      <c r="B85" s="87" t="s">
        <v>42</v>
      </c>
      <c r="C85" s="94">
        <v>4060</v>
      </c>
      <c r="D85" s="153" t="s">
        <v>43</v>
      </c>
      <c r="E85" s="88" t="s">
        <v>44</v>
      </c>
      <c r="F85" s="14">
        <f>F86</f>
        <v>2673000</v>
      </c>
      <c r="G85" s="14">
        <f t="shared" ref="G85:Q85" si="46">G86</f>
        <v>2673000</v>
      </c>
      <c r="H85" s="14">
        <f t="shared" si="46"/>
        <v>1690000</v>
      </c>
      <c r="I85" s="14">
        <f t="shared" si="46"/>
        <v>360000</v>
      </c>
      <c r="J85" s="14">
        <f t="shared" si="46"/>
        <v>0</v>
      </c>
      <c r="K85" s="14">
        <f t="shared" si="46"/>
        <v>105000</v>
      </c>
      <c r="L85" s="14">
        <f t="shared" si="46"/>
        <v>20000</v>
      </c>
      <c r="M85" s="14">
        <f t="shared" si="46"/>
        <v>85000</v>
      </c>
      <c r="N85" s="14">
        <f t="shared" si="46"/>
        <v>10000</v>
      </c>
      <c r="O85" s="14">
        <f t="shared" si="46"/>
        <v>0</v>
      </c>
      <c r="P85" s="14">
        <f t="shared" si="46"/>
        <v>20000</v>
      </c>
      <c r="Q85" s="14">
        <f t="shared" si="46"/>
        <v>2778000</v>
      </c>
      <c r="R85" s="6"/>
    </row>
    <row r="86" spans="1:19" s="7" customFormat="1" ht="21" customHeight="1">
      <c r="A86" s="6"/>
      <c r="B86" s="153"/>
      <c r="C86" s="153"/>
      <c r="D86" s="153"/>
      <c r="E86" s="89" t="s">
        <v>19</v>
      </c>
      <c r="F86" s="14">
        <f>G86</f>
        <v>2673000</v>
      </c>
      <c r="G86" s="30">
        <f>2680000-7000</f>
        <v>2673000</v>
      </c>
      <c r="H86" s="30">
        <v>1690000</v>
      </c>
      <c r="I86" s="30">
        <f>150000+200000+10000</f>
        <v>360000</v>
      </c>
      <c r="J86" s="14">
        <v>0</v>
      </c>
      <c r="K86" s="14">
        <f>M86+L86</f>
        <v>105000</v>
      </c>
      <c r="L86" s="30">
        <v>20000</v>
      </c>
      <c r="M86" s="30">
        <v>85000</v>
      </c>
      <c r="N86" s="30">
        <v>10000</v>
      </c>
      <c r="O86" s="14">
        <v>0</v>
      </c>
      <c r="P86" s="14">
        <f>L86</f>
        <v>20000</v>
      </c>
      <c r="Q86" s="14">
        <f>F86+K86</f>
        <v>2778000</v>
      </c>
      <c r="R86" s="6"/>
    </row>
    <row r="87" spans="1:19" s="7" customFormat="1" ht="19.5" customHeight="1">
      <c r="A87" s="6"/>
      <c r="B87" s="87" t="s">
        <v>104</v>
      </c>
      <c r="C87" s="118"/>
      <c r="D87" s="153"/>
      <c r="E87" s="88" t="s">
        <v>105</v>
      </c>
      <c r="F87" s="14">
        <f>F88</f>
        <v>22000</v>
      </c>
      <c r="G87" s="14">
        <f t="shared" ref="G87:P87" si="47">G88</f>
        <v>22000</v>
      </c>
      <c r="H87" s="14">
        <f t="shared" si="47"/>
        <v>0</v>
      </c>
      <c r="I87" s="14">
        <f t="shared" si="47"/>
        <v>0</v>
      </c>
      <c r="J87" s="14">
        <f t="shared" si="47"/>
        <v>0</v>
      </c>
      <c r="K87" s="14">
        <f t="shared" si="47"/>
        <v>0</v>
      </c>
      <c r="L87" s="14">
        <f t="shared" si="47"/>
        <v>0</v>
      </c>
      <c r="M87" s="14">
        <f t="shared" si="47"/>
        <v>0</v>
      </c>
      <c r="N87" s="14">
        <f t="shared" si="47"/>
        <v>0</v>
      </c>
      <c r="O87" s="14">
        <f t="shared" si="47"/>
        <v>0</v>
      </c>
      <c r="P87" s="14">
        <f t="shared" si="47"/>
        <v>0</v>
      </c>
      <c r="Q87" s="14">
        <f t="shared" si="6"/>
        <v>22000</v>
      </c>
      <c r="R87" s="6"/>
    </row>
    <row r="88" spans="1:19" s="7" customFormat="1" ht="25.5" customHeight="1">
      <c r="A88" s="6"/>
      <c r="B88" s="93" t="s">
        <v>106</v>
      </c>
      <c r="C88" s="94">
        <v>4082</v>
      </c>
      <c r="D88" s="93" t="s">
        <v>107</v>
      </c>
      <c r="E88" s="103" t="s">
        <v>108</v>
      </c>
      <c r="F88" s="14">
        <f>G88</f>
        <v>22000</v>
      </c>
      <c r="G88" s="30">
        <f>15000+7000</f>
        <v>22000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f t="shared" si="6"/>
        <v>22000</v>
      </c>
      <c r="R88" s="6"/>
    </row>
    <row r="89" spans="1:19" s="7" customFormat="1" ht="18" customHeight="1">
      <c r="A89" s="6"/>
      <c r="B89" s="119"/>
      <c r="C89" s="120">
        <v>5000</v>
      </c>
      <c r="D89" s="119"/>
      <c r="E89" s="121" t="s">
        <v>109</v>
      </c>
      <c r="F89" s="51">
        <f>F90</f>
        <v>35000</v>
      </c>
      <c r="G89" s="51">
        <f t="shared" ref="G89:S89" si="48">G90</f>
        <v>35000</v>
      </c>
      <c r="H89" s="51">
        <f t="shared" si="48"/>
        <v>0</v>
      </c>
      <c r="I89" s="51">
        <f t="shared" si="48"/>
        <v>0</v>
      </c>
      <c r="J89" s="51">
        <f t="shared" si="48"/>
        <v>0</v>
      </c>
      <c r="K89" s="51">
        <f t="shared" si="48"/>
        <v>0</v>
      </c>
      <c r="L89" s="51">
        <f t="shared" si="48"/>
        <v>0</v>
      </c>
      <c r="M89" s="51">
        <f t="shared" si="48"/>
        <v>0</v>
      </c>
      <c r="N89" s="51">
        <f t="shared" si="48"/>
        <v>0</v>
      </c>
      <c r="O89" s="51">
        <f t="shared" si="48"/>
        <v>0</v>
      </c>
      <c r="P89" s="51">
        <f t="shared" si="48"/>
        <v>0</v>
      </c>
      <c r="Q89" s="51">
        <f t="shared" si="48"/>
        <v>35000</v>
      </c>
      <c r="R89" s="9">
        <f t="shared" si="48"/>
        <v>0</v>
      </c>
      <c r="S89" s="8">
        <f t="shared" si="48"/>
        <v>0</v>
      </c>
    </row>
    <row r="90" spans="1:19" s="7" customFormat="1" ht="18.75" customHeight="1">
      <c r="A90" s="6"/>
      <c r="B90" s="87" t="s">
        <v>65</v>
      </c>
      <c r="C90" s="153">
        <v>5060</v>
      </c>
      <c r="D90" s="153" t="s">
        <v>3</v>
      </c>
      <c r="E90" s="88" t="s">
        <v>72</v>
      </c>
      <c r="F90" s="14">
        <f>F96+F91</f>
        <v>35000</v>
      </c>
      <c r="G90" s="14">
        <f t="shared" ref="G90:Q90" si="49">G96+G91</f>
        <v>35000</v>
      </c>
      <c r="H90" s="14">
        <f t="shared" si="49"/>
        <v>0</v>
      </c>
      <c r="I90" s="14">
        <f t="shared" si="49"/>
        <v>0</v>
      </c>
      <c r="J90" s="14">
        <f t="shared" si="49"/>
        <v>0</v>
      </c>
      <c r="K90" s="14">
        <f t="shared" si="49"/>
        <v>0</v>
      </c>
      <c r="L90" s="14">
        <f t="shared" si="49"/>
        <v>0</v>
      </c>
      <c r="M90" s="14">
        <f t="shared" si="49"/>
        <v>0</v>
      </c>
      <c r="N90" s="14">
        <f t="shared" si="49"/>
        <v>0</v>
      </c>
      <c r="O90" s="14">
        <f t="shared" si="49"/>
        <v>0</v>
      </c>
      <c r="P90" s="14">
        <f t="shared" si="49"/>
        <v>0</v>
      </c>
      <c r="Q90" s="14">
        <f t="shared" si="49"/>
        <v>35000</v>
      </c>
      <c r="R90" s="6"/>
    </row>
    <row r="91" spans="1:19" s="29" customFormat="1" ht="48" customHeight="1">
      <c r="A91" s="27"/>
      <c r="B91" s="93" t="s">
        <v>203</v>
      </c>
      <c r="C91" s="94">
        <v>5061</v>
      </c>
      <c r="D91" s="122" t="s">
        <v>45</v>
      </c>
      <c r="E91" s="103" t="s">
        <v>202</v>
      </c>
      <c r="F91" s="28">
        <f>G91</f>
        <v>15000</v>
      </c>
      <c r="G91" s="39">
        <v>15000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f>F91+K91</f>
        <v>15000</v>
      </c>
      <c r="R91" s="27"/>
    </row>
    <row r="92" spans="1:19" s="7" customFormat="1" ht="18" customHeight="1">
      <c r="A92" s="6"/>
      <c r="B92" s="169" t="s">
        <v>66</v>
      </c>
      <c r="C92" s="169" t="s">
        <v>67</v>
      </c>
      <c r="D92" s="169" t="s">
        <v>68</v>
      </c>
      <c r="E92" s="169" t="s">
        <v>69</v>
      </c>
      <c r="F92" s="167" t="s">
        <v>5</v>
      </c>
      <c r="G92" s="167"/>
      <c r="H92" s="167"/>
      <c r="I92" s="167"/>
      <c r="J92" s="167"/>
      <c r="K92" s="167" t="s">
        <v>2</v>
      </c>
      <c r="L92" s="167"/>
      <c r="M92" s="167"/>
      <c r="N92" s="167"/>
      <c r="O92" s="167"/>
      <c r="P92" s="167"/>
      <c r="Q92" s="167" t="s">
        <v>4</v>
      </c>
      <c r="R92" s="6"/>
    </row>
    <row r="93" spans="1:19" s="7" customFormat="1" ht="26.25" customHeight="1">
      <c r="A93" s="6"/>
      <c r="B93" s="169"/>
      <c r="C93" s="169"/>
      <c r="D93" s="169"/>
      <c r="E93" s="169"/>
      <c r="F93" s="167" t="s">
        <v>62</v>
      </c>
      <c r="G93" s="168" t="s">
        <v>6</v>
      </c>
      <c r="H93" s="169" t="s">
        <v>7</v>
      </c>
      <c r="I93" s="169"/>
      <c r="J93" s="168" t="s">
        <v>8</v>
      </c>
      <c r="K93" s="167" t="s">
        <v>62</v>
      </c>
      <c r="L93" s="168" t="s">
        <v>63</v>
      </c>
      <c r="M93" s="168" t="s">
        <v>6</v>
      </c>
      <c r="N93" s="169" t="s">
        <v>7</v>
      </c>
      <c r="O93" s="169"/>
      <c r="P93" s="168" t="s">
        <v>8</v>
      </c>
      <c r="Q93" s="167"/>
      <c r="R93" s="6"/>
    </row>
    <row r="94" spans="1:19" s="7" customFormat="1" ht="42.75" customHeight="1">
      <c r="A94" s="6"/>
      <c r="B94" s="169"/>
      <c r="C94" s="169"/>
      <c r="D94" s="169"/>
      <c r="E94" s="169"/>
      <c r="F94" s="167"/>
      <c r="G94" s="168"/>
      <c r="H94" s="153" t="s">
        <v>9</v>
      </c>
      <c r="I94" s="153" t="s">
        <v>10</v>
      </c>
      <c r="J94" s="168"/>
      <c r="K94" s="167"/>
      <c r="L94" s="168"/>
      <c r="M94" s="168"/>
      <c r="N94" s="153" t="s">
        <v>9</v>
      </c>
      <c r="O94" s="153" t="s">
        <v>10</v>
      </c>
      <c r="P94" s="168"/>
      <c r="Q94" s="167"/>
      <c r="R94" s="6"/>
    </row>
    <row r="95" spans="1:19" s="7" customFormat="1" ht="15.6" customHeight="1">
      <c r="A95" s="6"/>
      <c r="B95" s="153">
        <v>1</v>
      </c>
      <c r="C95" s="153">
        <v>2</v>
      </c>
      <c r="D95" s="153">
        <v>3</v>
      </c>
      <c r="E95" s="153">
        <v>4</v>
      </c>
      <c r="F95" s="151">
        <v>5</v>
      </c>
      <c r="G95" s="152">
        <v>6</v>
      </c>
      <c r="H95" s="153">
        <v>7</v>
      </c>
      <c r="I95" s="153">
        <v>8</v>
      </c>
      <c r="J95" s="152">
        <v>9</v>
      </c>
      <c r="K95" s="151">
        <v>10</v>
      </c>
      <c r="L95" s="152">
        <v>11</v>
      </c>
      <c r="M95" s="152">
        <v>12</v>
      </c>
      <c r="N95" s="153">
        <v>13</v>
      </c>
      <c r="O95" s="153">
        <v>14</v>
      </c>
      <c r="P95" s="152">
        <v>15</v>
      </c>
      <c r="Q95" s="151">
        <v>16</v>
      </c>
      <c r="R95" s="6"/>
    </row>
    <row r="96" spans="1:19" s="7" customFormat="1" ht="34.5" customHeight="1">
      <c r="A96" s="6"/>
      <c r="B96" s="87" t="s">
        <v>74</v>
      </c>
      <c r="C96" s="153">
        <v>5062</v>
      </c>
      <c r="D96" s="123" t="s">
        <v>45</v>
      </c>
      <c r="E96" s="88" t="s">
        <v>73</v>
      </c>
      <c r="F96" s="14">
        <f>G96</f>
        <v>20000</v>
      </c>
      <c r="G96" s="30">
        <f>30000-10000</f>
        <v>20000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f>F96+K96</f>
        <v>20000</v>
      </c>
      <c r="R96" s="6"/>
    </row>
    <row r="97" spans="1:20" s="7" customFormat="1" ht="20.45" customHeight="1">
      <c r="A97" s="6"/>
      <c r="B97" s="109"/>
      <c r="C97" s="151">
        <v>6000</v>
      </c>
      <c r="D97" s="74"/>
      <c r="E97" s="76" t="s">
        <v>110</v>
      </c>
      <c r="F97" s="51">
        <f>F98+F99</f>
        <v>2182156</v>
      </c>
      <c r="G97" s="51">
        <f t="shared" ref="G97:Q97" si="50">G98+G99</f>
        <v>2182156</v>
      </c>
      <c r="H97" s="51">
        <f t="shared" si="50"/>
        <v>13000</v>
      </c>
      <c r="I97" s="51">
        <f t="shared" si="50"/>
        <v>350000</v>
      </c>
      <c r="J97" s="51">
        <f t="shared" si="50"/>
        <v>0</v>
      </c>
      <c r="K97" s="51">
        <f t="shared" si="50"/>
        <v>698900</v>
      </c>
      <c r="L97" s="51">
        <f t="shared" si="50"/>
        <v>698900</v>
      </c>
      <c r="M97" s="51">
        <f t="shared" si="50"/>
        <v>0</v>
      </c>
      <c r="N97" s="51">
        <f t="shared" si="50"/>
        <v>0</v>
      </c>
      <c r="O97" s="51">
        <f t="shared" si="50"/>
        <v>0</v>
      </c>
      <c r="P97" s="51">
        <f t="shared" si="50"/>
        <v>698900</v>
      </c>
      <c r="Q97" s="51">
        <f t="shared" si="50"/>
        <v>2881056</v>
      </c>
      <c r="R97" s="6"/>
    </row>
    <row r="98" spans="1:20" s="7" customFormat="1" ht="25.5" customHeight="1">
      <c r="A98" s="6"/>
      <c r="B98" s="87" t="s">
        <v>111</v>
      </c>
      <c r="C98" s="87" t="s">
        <v>112</v>
      </c>
      <c r="D98" s="123" t="s">
        <v>46</v>
      </c>
      <c r="E98" s="88" t="s">
        <v>113</v>
      </c>
      <c r="F98" s="14">
        <f>G98</f>
        <v>1312740</v>
      </c>
      <c r="G98" s="30">
        <f>500000+626740+10000+20000+90000+28000+38000</f>
        <v>1312740</v>
      </c>
      <c r="H98" s="14">
        <v>0</v>
      </c>
      <c r="I98" s="14">
        <v>0</v>
      </c>
      <c r="J98" s="14">
        <v>0</v>
      </c>
      <c r="K98" s="14">
        <f>L98</f>
        <v>0</v>
      </c>
      <c r="L98" s="14">
        <v>0</v>
      </c>
      <c r="M98" s="14">
        <v>0</v>
      </c>
      <c r="N98" s="14">
        <v>0</v>
      </c>
      <c r="O98" s="14">
        <v>0</v>
      </c>
      <c r="P98" s="14">
        <f>L98</f>
        <v>0</v>
      </c>
      <c r="Q98" s="14">
        <f>F98+K98</f>
        <v>1312740</v>
      </c>
      <c r="R98" s="17"/>
      <c r="S98" s="17"/>
    </row>
    <row r="99" spans="1:20" s="7" customFormat="1" ht="25.5" customHeight="1">
      <c r="A99" s="6"/>
      <c r="B99" s="87" t="s">
        <v>47</v>
      </c>
      <c r="C99" s="87" t="s">
        <v>75</v>
      </c>
      <c r="D99" s="87" t="s">
        <v>46</v>
      </c>
      <c r="E99" s="88" t="s">
        <v>48</v>
      </c>
      <c r="F99" s="14">
        <f>G99</f>
        <v>869416</v>
      </c>
      <c r="G99" s="30">
        <f>1174416-180000-60000-15000-50000</f>
        <v>869416</v>
      </c>
      <c r="H99" s="30">
        <v>13000</v>
      </c>
      <c r="I99" s="30">
        <f>400000-50000</f>
        <v>350000</v>
      </c>
      <c r="J99" s="14">
        <v>0</v>
      </c>
      <c r="K99" s="14">
        <f>L99</f>
        <v>698900</v>
      </c>
      <c r="L99" s="30">
        <f>50000+650000-1100</f>
        <v>698900</v>
      </c>
      <c r="M99" s="14">
        <v>0</v>
      </c>
      <c r="N99" s="14">
        <v>0</v>
      </c>
      <c r="O99" s="14">
        <v>0</v>
      </c>
      <c r="P99" s="14">
        <f>L99</f>
        <v>698900</v>
      </c>
      <c r="Q99" s="14">
        <f>F99+K99</f>
        <v>1568316</v>
      </c>
      <c r="R99" s="6"/>
    </row>
    <row r="100" spans="1:20" s="7" customFormat="1" ht="25.5" customHeight="1">
      <c r="A100" s="6"/>
      <c r="B100" s="87"/>
      <c r="C100" s="109" t="s">
        <v>176</v>
      </c>
      <c r="D100" s="87"/>
      <c r="E100" s="76" t="s">
        <v>177</v>
      </c>
      <c r="F100" s="14">
        <f>F102+F101</f>
        <v>190000</v>
      </c>
      <c r="G100" s="101">
        <f>G102+G101</f>
        <v>190000</v>
      </c>
      <c r="H100" s="101">
        <f t="shared" ref="H100:P100" si="51">H102+H101</f>
        <v>0</v>
      </c>
      <c r="I100" s="101">
        <f t="shared" si="51"/>
        <v>0</v>
      </c>
      <c r="J100" s="101">
        <f t="shared" si="51"/>
        <v>0</v>
      </c>
      <c r="K100" s="101">
        <f t="shared" si="51"/>
        <v>0</v>
      </c>
      <c r="L100" s="101">
        <f t="shared" si="51"/>
        <v>0</v>
      </c>
      <c r="M100" s="101">
        <f t="shared" si="51"/>
        <v>0</v>
      </c>
      <c r="N100" s="101">
        <f t="shared" si="51"/>
        <v>0</v>
      </c>
      <c r="O100" s="101">
        <f t="shared" si="51"/>
        <v>0</v>
      </c>
      <c r="P100" s="101">
        <f t="shared" si="51"/>
        <v>0</v>
      </c>
      <c r="Q100" s="101">
        <f t="shared" ref="Q100" si="52">Q102+Q101</f>
        <v>190000</v>
      </c>
      <c r="R100" s="101">
        <f t="shared" ref="R100" si="53">R102+R101</f>
        <v>0</v>
      </c>
      <c r="S100" s="101">
        <f t="shared" ref="S100" si="54">S102+S101</f>
        <v>0</v>
      </c>
    </row>
    <row r="101" spans="1:20" s="29" customFormat="1" ht="25.5" customHeight="1">
      <c r="A101" s="27"/>
      <c r="B101" s="93" t="s">
        <v>222</v>
      </c>
      <c r="C101" s="93" t="s">
        <v>223</v>
      </c>
      <c r="D101" s="93" t="s">
        <v>180</v>
      </c>
      <c r="E101" s="103" t="s">
        <v>224</v>
      </c>
      <c r="F101" s="28">
        <f>G101</f>
        <v>30000</v>
      </c>
      <c r="G101" s="39">
        <v>30000</v>
      </c>
      <c r="H101" s="96">
        <f t="shared" ref="H101" si="55">H104</f>
        <v>0</v>
      </c>
      <c r="I101" s="96">
        <f t="shared" ref="I101" si="56">I104</f>
        <v>0</v>
      </c>
      <c r="J101" s="96">
        <f t="shared" ref="J101" si="57">J104</f>
        <v>0</v>
      </c>
      <c r="K101" s="96">
        <f t="shared" ref="K101" si="58">K104</f>
        <v>0</v>
      </c>
      <c r="L101" s="96">
        <f t="shared" ref="L101" si="59">L104</f>
        <v>0</v>
      </c>
      <c r="M101" s="96">
        <f t="shared" ref="M101" si="60">M104</f>
        <v>0</v>
      </c>
      <c r="N101" s="96">
        <f t="shared" ref="N101" si="61">N104</f>
        <v>0</v>
      </c>
      <c r="O101" s="96">
        <f t="shared" ref="O101" si="62">O104</f>
        <v>0</v>
      </c>
      <c r="P101" s="96">
        <f t="shared" ref="P101" si="63">P104</f>
        <v>0</v>
      </c>
      <c r="Q101" s="96">
        <f>F101+K101</f>
        <v>30000</v>
      </c>
      <c r="R101" s="27"/>
      <c r="T101" s="29" t="s">
        <v>182</v>
      </c>
    </row>
    <row r="102" spans="1:20" s="7" customFormat="1" ht="25.5" customHeight="1">
      <c r="A102" s="6"/>
      <c r="B102" s="87" t="s">
        <v>179</v>
      </c>
      <c r="C102" s="87" t="s">
        <v>178</v>
      </c>
      <c r="D102" s="87" t="s">
        <v>180</v>
      </c>
      <c r="E102" s="88" t="s">
        <v>181</v>
      </c>
      <c r="F102" s="14">
        <f>G102</f>
        <v>160000</v>
      </c>
      <c r="G102" s="30">
        <f>10000+150000</f>
        <v>160000</v>
      </c>
      <c r="H102" s="101">
        <f t="shared" ref="H102:P102" si="64">H109</f>
        <v>0</v>
      </c>
      <c r="I102" s="101">
        <f t="shared" si="64"/>
        <v>0</v>
      </c>
      <c r="J102" s="101">
        <f t="shared" si="64"/>
        <v>0</v>
      </c>
      <c r="K102" s="101">
        <f t="shared" si="64"/>
        <v>0</v>
      </c>
      <c r="L102" s="101">
        <f t="shared" si="64"/>
        <v>0</v>
      </c>
      <c r="M102" s="101">
        <f t="shared" si="64"/>
        <v>0</v>
      </c>
      <c r="N102" s="101">
        <f t="shared" si="64"/>
        <v>0</v>
      </c>
      <c r="O102" s="101">
        <f t="shared" si="64"/>
        <v>0</v>
      </c>
      <c r="P102" s="101">
        <f t="shared" si="64"/>
        <v>0</v>
      </c>
      <c r="Q102" s="101">
        <f>F102+K102</f>
        <v>160000</v>
      </c>
      <c r="R102" s="6"/>
      <c r="T102" s="7" t="s">
        <v>182</v>
      </c>
    </row>
    <row r="103" spans="1:20" s="38" customFormat="1" ht="25.5" hidden="1" customHeight="1">
      <c r="A103" s="36"/>
      <c r="B103" s="119"/>
      <c r="C103" s="119" t="s">
        <v>195</v>
      </c>
      <c r="D103" s="119"/>
      <c r="E103" s="121" t="s">
        <v>204</v>
      </c>
      <c r="F103" s="37">
        <f>F104</f>
        <v>0</v>
      </c>
      <c r="G103" s="37">
        <f t="shared" ref="G103:P103" si="65">G104</f>
        <v>0</v>
      </c>
      <c r="H103" s="37">
        <f t="shared" si="65"/>
        <v>0</v>
      </c>
      <c r="I103" s="37">
        <f t="shared" si="65"/>
        <v>0</v>
      </c>
      <c r="J103" s="37">
        <f t="shared" si="65"/>
        <v>0</v>
      </c>
      <c r="K103" s="37">
        <f t="shared" si="65"/>
        <v>0</v>
      </c>
      <c r="L103" s="37">
        <f t="shared" si="65"/>
        <v>0</v>
      </c>
      <c r="M103" s="37">
        <f t="shared" si="65"/>
        <v>0</v>
      </c>
      <c r="N103" s="37">
        <f t="shared" si="65"/>
        <v>0</v>
      </c>
      <c r="O103" s="37">
        <f t="shared" si="65"/>
        <v>0</v>
      </c>
      <c r="P103" s="37">
        <f t="shared" si="65"/>
        <v>0</v>
      </c>
      <c r="Q103" s="124">
        <f t="shared" ref="Q103:Q104" si="66">F103+K103</f>
        <v>0</v>
      </c>
      <c r="R103" s="36"/>
    </row>
    <row r="104" spans="1:20" s="29" customFormat="1" ht="36" hidden="1" customHeight="1">
      <c r="A104" s="27"/>
      <c r="B104" s="93" t="s">
        <v>205</v>
      </c>
      <c r="C104" s="93" t="s">
        <v>194</v>
      </c>
      <c r="D104" s="93" t="s">
        <v>82</v>
      </c>
      <c r="E104" s="103" t="s">
        <v>206</v>
      </c>
      <c r="F104" s="28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f>L104</f>
        <v>0</v>
      </c>
      <c r="L104" s="39">
        <f>1079475-1079475</f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f t="shared" si="66"/>
        <v>0</v>
      </c>
      <c r="R104" s="27"/>
    </row>
    <row r="105" spans="1:20" s="38" customFormat="1" ht="36" customHeight="1">
      <c r="A105" s="36"/>
      <c r="B105" s="119"/>
      <c r="C105" s="119" t="s">
        <v>195</v>
      </c>
      <c r="D105" s="119"/>
      <c r="E105" s="121" t="s">
        <v>229</v>
      </c>
      <c r="F105" s="37">
        <f>F106+F107</f>
        <v>0</v>
      </c>
      <c r="G105" s="37">
        <f t="shared" ref="G105:Q105" si="67">G106+G107</f>
        <v>0</v>
      </c>
      <c r="H105" s="37">
        <f t="shared" si="67"/>
        <v>0</v>
      </c>
      <c r="I105" s="37">
        <f t="shared" si="67"/>
        <v>0</v>
      </c>
      <c r="J105" s="37">
        <f t="shared" si="67"/>
        <v>0</v>
      </c>
      <c r="K105" s="37">
        <f t="shared" si="67"/>
        <v>522683</v>
      </c>
      <c r="L105" s="37">
        <f t="shared" si="67"/>
        <v>522683</v>
      </c>
      <c r="M105" s="37">
        <f t="shared" si="67"/>
        <v>0</v>
      </c>
      <c r="N105" s="37">
        <f t="shared" si="67"/>
        <v>0</v>
      </c>
      <c r="O105" s="37">
        <f t="shared" si="67"/>
        <v>0</v>
      </c>
      <c r="P105" s="37">
        <f t="shared" si="67"/>
        <v>522683</v>
      </c>
      <c r="Q105" s="37">
        <f t="shared" si="67"/>
        <v>522683</v>
      </c>
      <c r="R105" s="36"/>
    </row>
    <row r="106" spans="1:20" s="29" customFormat="1" ht="18" customHeight="1">
      <c r="A106" s="27"/>
      <c r="B106" s="87" t="s">
        <v>226</v>
      </c>
      <c r="C106" s="87" t="s">
        <v>227</v>
      </c>
      <c r="D106" s="87" t="s">
        <v>228</v>
      </c>
      <c r="E106" s="103" t="s">
        <v>225</v>
      </c>
      <c r="F106" s="14">
        <f>G106</f>
        <v>0</v>
      </c>
      <c r="G106" s="14">
        <v>0</v>
      </c>
      <c r="H106" s="14">
        <f>H109</f>
        <v>0</v>
      </c>
      <c r="I106" s="14">
        <f>I109</f>
        <v>0</v>
      </c>
      <c r="J106" s="96">
        <v>0</v>
      </c>
      <c r="K106" s="96">
        <f>L106</f>
        <v>5900</v>
      </c>
      <c r="L106" s="39">
        <v>5900</v>
      </c>
      <c r="M106" s="14">
        <f t="shared" ref="M106:O108" si="68">M109</f>
        <v>0</v>
      </c>
      <c r="N106" s="14">
        <f t="shared" si="68"/>
        <v>0</v>
      </c>
      <c r="O106" s="14">
        <f t="shared" si="68"/>
        <v>0</v>
      </c>
      <c r="P106" s="14">
        <f>L106</f>
        <v>5900</v>
      </c>
      <c r="Q106" s="14">
        <f>F106+K106</f>
        <v>5900</v>
      </c>
      <c r="R106" s="27"/>
    </row>
    <row r="107" spans="1:20" s="29" customFormat="1" ht="47.25" customHeight="1">
      <c r="A107" s="27"/>
      <c r="B107" s="87" t="s">
        <v>231</v>
      </c>
      <c r="C107" s="87" t="s">
        <v>232</v>
      </c>
      <c r="D107" s="87" t="s">
        <v>82</v>
      </c>
      <c r="E107" s="103" t="s">
        <v>230</v>
      </c>
      <c r="F107" s="14">
        <f>G107</f>
        <v>0</v>
      </c>
      <c r="G107" s="14">
        <v>0</v>
      </c>
      <c r="H107" s="14">
        <f>H110</f>
        <v>0</v>
      </c>
      <c r="I107" s="14">
        <f>I110</f>
        <v>0</v>
      </c>
      <c r="J107" s="96">
        <v>0</v>
      </c>
      <c r="K107" s="96">
        <f>L107</f>
        <v>516783</v>
      </c>
      <c r="L107" s="39">
        <f>5100+L108+4808+1100</f>
        <v>516783</v>
      </c>
      <c r="M107" s="14">
        <f t="shared" si="68"/>
        <v>0</v>
      </c>
      <c r="N107" s="14">
        <f t="shared" si="68"/>
        <v>0</v>
      </c>
      <c r="O107" s="14">
        <f t="shared" si="68"/>
        <v>0</v>
      </c>
      <c r="P107" s="14">
        <f>L107</f>
        <v>516783</v>
      </c>
      <c r="Q107" s="14">
        <f>F107+K107</f>
        <v>516783</v>
      </c>
      <c r="R107" s="27"/>
    </row>
    <row r="108" spans="1:20" s="161" customFormat="1" ht="47.25" customHeight="1">
      <c r="A108" s="160"/>
      <c r="B108" s="100"/>
      <c r="C108" s="100"/>
      <c r="D108" s="100"/>
      <c r="E108" s="91" t="s">
        <v>241</v>
      </c>
      <c r="F108" s="5">
        <v>0</v>
      </c>
      <c r="G108" s="5">
        <v>0</v>
      </c>
      <c r="H108" s="5">
        <v>0</v>
      </c>
      <c r="I108" s="5">
        <v>0</v>
      </c>
      <c r="J108" s="97">
        <v>0</v>
      </c>
      <c r="K108" s="96">
        <f>L108</f>
        <v>505775</v>
      </c>
      <c r="L108" s="92">
        <v>505775</v>
      </c>
      <c r="M108" s="14">
        <f t="shared" si="68"/>
        <v>0</v>
      </c>
      <c r="N108" s="14">
        <f t="shared" si="68"/>
        <v>0</v>
      </c>
      <c r="O108" s="14">
        <f t="shared" si="68"/>
        <v>0</v>
      </c>
      <c r="P108" s="14">
        <f>L108</f>
        <v>505775</v>
      </c>
      <c r="Q108" s="14">
        <f>F108+K108</f>
        <v>505775</v>
      </c>
      <c r="R108" s="160"/>
    </row>
    <row r="109" spans="1:20" s="7" customFormat="1" ht="41.25" customHeight="1">
      <c r="A109" s="6"/>
      <c r="B109" s="109"/>
      <c r="C109" s="109" t="s">
        <v>114</v>
      </c>
      <c r="D109" s="109"/>
      <c r="E109" s="76" t="s">
        <v>115</v>
      </c>
      <c r="F109" s="51">
        <f>F110</f>
        <v>332000</v>
      </c>
      <c r="G109" s="51">
        <f t="shared" ref="G109:Q110" si="69">G110</f>
        <v>332000</v>
      </c>
      <c r="H109" s="51">
        <f t="shared" si="69"/>
        <v>0</v>
      </c>
      <c r="I109" s="51">
        <f t="shared" si="69"/>
        <v>0</v>
      </c>
      <c r="J109" s="51">
        <f t="shared" si="69"/>
        <v>0</v>
      </c>
      <c r="K109" s="51">
        <f t="shared" si="69"/>
        <v>0</v>
      </c>
      <c r="L109" s="51">
        <f t="shared" si="69"/>
        <v>0</v>
      </c>
      <c r="M109" s="51">
        <f t="shared" si="69"/>
        <v>0</v>
      </c>
      <c r="N109" s="51">
        <f t="shared" si="69"/>
        <v>0</v>
      </c>
      <c r="O109" s="51">
        <f t="shared" si="69"/>
        <v>0</v>
      </c>
      <c r="P109" s="51">
        <f t="shared" si="69"/>
        <v>0</v>
      </c>
      <c r="Q109" s="51">
        <f t="shared" si="69"/>
        <v>332000</v>
      </c>
      <c r="R109" s="6"/>
    </row>
    <row r="110" spans="1:20" s="7" customFormat="1" ht="30.75" customHeight="1">
      <c r="A110" s="6"/>
      <c r="B110" s="87" t="s">
        <v>49</v>
      </c>
      <c r="C110" s="87" t="s">
        <v>80</v>
      </c>
      <c r="D110" s="87"/>
      <c r="E110" s="88" t="s">
        <v>50</v>
      </c>
      <c r="F110" s="14">
        <f>F111</f>
        <v>332000</v>
      </c>
      <c r="G110" s="14">
        <f t="shared" si="69"/>
        <v>332000</v>
      </c>
      <c r="H110" s="14">
        <f t="shared" si="69"/>
        <v>0</v>
      </c>
      <c r="I110" s="14">
        <f t="shared" si="69"/>
        <v>0</v>
      </c>
      <c r="J110" s="14">
        <f t="shared" si="69"/>
        <v>0</v>
      </c>
      <c r="K110" s="14">
        <f t="shared" si="69"/>
        <v>0</v>
      </c>
      <c r="L110" s="14">
        <f t="shared" si="69"/>
        <v>0</v>
      </c>
      <c r="M110" s="14">
        <f t="shared" si="69"/>
        <v>0</v>
      </c>
      <c r="N110" s="14">
        <f t="shared" si="69"/>
        <v>0</v>
      </c>
      <c r="O110" s="14">
        <f t="shared" si="69"/>
        <v>0</v>
      </c>
      <c r="P110" s="14">
        <f t="shared" si="69"/>
        <v>0</v>
      </c>
      <c r="Q110" s="14">
        <f>F110+K110</f>
        <v>332000</v>
      </c>
      <c r="R110" s="6"/>
    </row>
    <row r="111" spans="1:20" s="7" customFormat="1" ht="36.6" customHeight="1">
      <c r="A111" s="6"/>
      <c r="B111" s="87" t="s">
        <v>51</v>
      </c>
      <c r="C111" s="87" t="s">
        <v>76</v>
      </c>
      <c r="D111" s="87" t="s">
        <v>52</v>
      </c>
      <c r="E111" s="88" t="s">
        <v>53</v>
      </c>
      <c r="F111" s="14">
        <f>G111</f>
        <v>332000</v>
      </c>
      <c r="G111" s="30">
        <f>300000+32000</f>
        <v>332000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f>F111+K111</f>
        <v>332000</v>
      </c>
      <c r="R111" s="6"/>
    </row>
    <row r="112" spans="1:20" s="21" customFormat="1" ht="36.6" customHeight="1">
      <c r="A112" s="20"/>
      <c r="B112" s="109"/>
      <c r="C112" s="109" t="s">
        <v>116</v>
      </c>
      <c r="D112" s="109"/>
      <c r="E112" s="76" t="s">
        <v>129</v>
      </c>
      <c r="F112" s="51">
        <f>F116+F114+F115+F113</f>
        <v>62000</v>
      </c>
      <c r="G112" s="51">
        <f t="shared" ref="G112:K112" si="70">G116+G114+G115+G113</f>
        <v>62000</v>
      </c>
      <c r="H112" s="51">
        <f t="shared" si="70"/>
        <v>0</v>
      </c>
      <c r="I112" s="51">
        <f t="shared" si="70"/>
        <v>0</v>
      </c>
      <c r="J112" s="51">
        <f t="shared" si="70"/>
        <v>0</v>
      </c>
      <c r="K112" s="51">
        <f t="shared" si="70"/>
        <v>212292</v>
      </c>
      <c r="L112" s="51">
        <f t="shared" ref="L112:P112" si="71">L116+L114+L115</f>
        <v>137292</v>
      </c>
      <c r="M112" s="51">
        <f t="shared" si="71"/>
        <v>75000</v>
      </c>
      <c r="N112" s="51">
        <f t="shared" si="71"/>
        <v>0</v>
      </c>
      <c r="O112" s="51">
        <f t="shared" si="71"/>
        <v>0</v>
      </c>
      <c r="P112" s="51">
        <f t="shared" si="71"/>
        <v>137292</v>
      </c>
      <c r="Q112" s="51">
        <f>F112+K112</f>
        <v>274292</v>
      </c>
      <c r="R112" s="20"/>
    </row>
    <row r="113" spans="1:19" s="21" customFormat="1" ht="36.6" customHeight="1">
      <c r="A113" s="20"/>
      <c r="B113" s="162" t="s">
        <v>242</v>
      </c>
      <c r="C113" s="163">
        <v>7622</v>
      </c>
      <c r="D113" s="162" t="s">
        <v>243</v>
      </c>
      <c r="E113" s="164" t="s">
        <v>244</v>
      </c>
      <c r="F113" s="28">
        <f>G113</f>
        <v>50000</v>
      </c>
      <c r="G113" s="39">
        <v>50000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f t="shared" ref="Q113:Q115" si="72">F113+K113</f>
        <v>50000</v>
      </c>
      <c r="R113" s="20"/>
    </row>
    <row r="114" spans="1:19" s="29" customFormat="1" ht="36.6" customHeight="1">
      <c r="A114" s="27"/>
      <c r="B114" s="94" t="s">
        <v>207</v>
      </c>
      <c r="C114" s="93" t="s">
        <v>193</v>
      </c>
      <c r="D114" s="94" t="s">
        <v>82</v>
      </c>
      <c r="E114" s="103" t="s">
        <v>209</v>
      </c>
      <c r="F114" s="28">
        <f>G114</f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f>L114</f>
        <v>137292</v>
      </c>
      <c r="L114" s="39">
        <f>60000-20000+48100+18000+27000+4192</f>
        <v>137292</v>
      </c>
      <c r="M114" s="28">
        <v>0</v>
      </c>
      <c r="N114" s="28">
        <v>0</v>
      </c>
      <c r="O114" s="28">
        <v>0</v>
      </c>
      <c r="P114" s="28">
        <f>L114</f>
        <v>137292</v>
      </c>
      <c r="Q114" s="28">
        <f t="shared" si="72"/>
        <v>137292</v>
      </c>
      <c r="R114" s="27"/>
    </row>
    <row r="115" spans="1:19" s="29" customFormat="1" ht="36" customHeight="1">
      <c r="A115" s="27"/>
      <c r="B115" s="94" t="s">
        <v>208</v>
      </c>
      <c r="C115" s="93" t="s">
        <v>192</v>
      </c>
      <c r="D115" s="94" t="s">
        <v>82</v>
      </c>
      <c r="E115" s="103" t="s">
        <v>210</v>
      </c>
      <c r="F115" s="28">
        <f>G115</f>
        <v>12000</v>
      </c>
      <c r="G115" s="28">
        <v>12000</v>
      </c>
      <c r="H115" s="28">
        <v>0</v>
      </c>
      <c r="I115" s="28">
        <v>0</v>
      </c>
      <c r="J115" s="28">
        <v>0</v>
      </c>
      <c r="K115" s="28">
        <f>L115</f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f t="shared" si="72"/>
        <v>12000</v>
      </c>
      <c r="R115" s="27"/>
    </row>
    <row r="116" spans="1:19" s="7" customFormat="1" ht="22.15" customHeight="1">
      <c r="A116" s="6"/>
      <c r="B116" s="87" t="s">
        <v>117</v>
      </c>
      <c r="C116" s="153">
        <v>7690</v>
      </c>
      <c r="D116" s="87"/>
      <c r="E116" s="88" t="s">
        <v>118</v>
      </c>
      <c r="F116" s="14">
        <f t="shared" ref="F116:P116" si="73">F125</f>
        <v>0</v>
      </c>
      <c r="G116" s="14">
        <f t="shared" si="73"/>
        <v>0</v>
      </c>
      <c r="H116" s="14">
        <f t="shared" si="73"/>
        <v>0</v>
      </c>
      <c r="I116" s="14">
        <f t="shared" si="73"/>
        <v>0</v>
      </c>
      <c r="J116" s="14">
        <f t="shared" si="73"/>
        <v>0</v>
      </c>
      <c r="K116" s="14">
        <f t="shared" si="73"/>
        <v>75000</v>
      </c>
      <c r="L116" s="14">
        <f t="shared" si="73"/>
        <v>0</v>
      </c>
      <c r="M116" s="14">
        <f t="shared" si="73"/>
        <v>75000</v>
      </c>
      <c r="N116" s="14">
        <f t="shared" si="73"/>
        <v>0</v>
      </c>
      <c r="O116" s="14">
        <f t="shared" si="73"/>
        <v>0</v>
      </c>
      <c r="P116" s="14">
        <f t="shared" si="73"/>
        <v>0</v>
      </c>
      <c r="Q116" s="14">
        <f>F116+K116</f>
        <v>75000</v>
      </c>
      <c r="R116" s="6"/>
    </row>
    <row r="117" spans="1:19" s="7" customFormat="1" ht="25.15" hidden="1" customHeight="1">
      <c r="A117" s="6"/>
      <c r="B117" s="169" t="s">
        <v>66</v>
      </c>
      <c r="C117" s="169" t="s">
        <v>67</v>
      </c>
      <c r="D117" s="169" t="s">
        <v>68</v>
      </c>
      <c r="E117" s="169" t="s">
        <v>69</v>
      </c>
      <c r="F117" s="167" t="s">
        <v>5</v>
      </c>
      <c r="G117" s="167"/>
      <c r="H117" s="167"/>
      <c r="I117" s="167"/>
      <c r="J117" s="167"/>
      <c r="K117" s="167" t="s">
        <v>2</v>
      </c>
      <c r="L117" s="167"/>
      <c r="M117" s="167"/>
      <c r="N117" s="167"/>
      <c r="O117" s="167"/>
      <c r="P117" s="167"/>
      <c r="Q117" s="167" t="s">
        <v>4</v>
      </c>
      <c r="R117" s="6"/>
    </row>
    <row r="118" spans="1:19" s="7" customFormat="1" ht="25.15" hidden="1" customHeight="1">
      <c r="A118" s="6"/>
      <c r="B118" s="169"/>
      <c r="C118" s="169"/>
      <c r="D118" s="169"/>
      <c r="E118" s="169"/>
      <c r="F118" s="167" t="s">
        <v>62</v>
      </c>
      <c r="G118" s="168" t="s">
        <v>6</v>
      </c>
      <c r="H118" s="169" t="s">
        <v>7</v>
      </c>
      <c r="I118" s="169"/>
      <c r="J118" s="168" t="s">
        <v>8</v>
      </c>
      <c r="K118" s="167" t="s">
        <v>62</v>
      </c>
      <c r="L118" s="168" t="s">
        <v>63</v>
      </c>
      <c r="M118" s="168" t="s">
        <v>6</v>
      </c>
      <c r="N118" s="169" t="s">
        <v>7</v>
      </c>
      <c r="O118" s="169"/>
      <c r="P118" s="168" t="s">
        <v>8</v>
      </c>
      <c r="Q118" s="167"/>
      <c r="R118" s="6"/>
    </row>
    <row r="119" spans="1:19" s="7" customFormat="1" ht="93.6" hidden="1" customHeight="1">
      <c r="A119" s="6"/>
      <c r="B119" s="169"/>
      <c r="C119" s="169"/>
      <c r="D119" s="169"/>
      <c r="E119" s="169"/>
      <c r="F119" s="167"/>
      <c r="G119" s="168"/>
      <c r="H119" s="153" t="s">
        <v>9</v>
      </c>
      <c r="I119" s="153" t="s">
        <v>10</v>
      </c>
      <c r="J119" s="168"/>
      <c r="K119" s="167"/>
      <c r="L119" s="168"/>
      <c r="M119" s="168"/>
      <c r="N119" s="153" t="s">
        <v>9</v>
      </c>
      <c r="O119" s="153" t="s">
        <v>10</v>
      </c>
      <c r="P119" s="168"/>
      <c r="Q119" s="167"/>
      <c r="R119" s="6"/>
    </row>
    <row r="120" spans="1:19" s="7" customFormat="1" ht="18" hidden="1" customHeight="1">
      <c r="A120" s="6"/>
      <c r="B120" s="153">
        <v>1</v>
      </c>
      <c r="C120" s="153">
        <v>2</v>
      </c>
      <c r="D120" s="153">
        <v>3</v>
      </c>
      <c r="E120" s="153">
        <v>4</v>
      </c>
      <c r="F120" s="151">
        <v>5</v>
      </c>
      <c r="G120" s="152">
        <v>6</v>
      </c>
      <c r="H120" s="153">
        <v>7</v>
      </c>
      <c r="I120" s="153">
        <v>8</v>
      </c>
      <c r="J120" s="152">
        <v>9</v>
      </c>
      <c r="K120" s="151">
        <v>10</v>
      </c>
      <c r="L120" s="152">
        <v>11</v>
      </c>
      <c r="M120" s="152">
        <v>12</v>
      </c>
      <c r="N120" s="153">
        <v>13</v>
      </c>
      <c r="O120" s="153">
        <v>14</v>
      </c>
      <c r="P120" s="152">
        <v>15</v>
      </c>
      <c r="Q120" s="151">
        <v>16</v>
      </c>
      <c r="R120" s="6"/>
    </row>
    <row r="121" spans="1:19" s="7" customFormat="1" ht="23.25" customHeight="1">
      <c r="A121" s="6"/>
      <c r="B121" s="169" t="s">
        <v>66</v>
      </c>
      <c r="C121" s="169" t="s">
        <v>67</v>
      </c>
      <c r="D121" s="169" t="s">
        <v>68</v>
      </c>
      <c r="E121" s="169" t="s">
        <v>69</v>
      </c>
      <c r="F121" s="167" t="s">
        <v>5</v>
      </c>
      <c r="G121" s="167"/>
      <c r="H121" s="167"/>
      <c r="I121" s="167"/>
      <c r="J121" s="167"/>
      <c r="K121" s="167" t="s">
        <v>2</v>
      </c>
      <c r="L121" s="167"/>
      <c r="M121" s="167"/>
      <c r="N121" s="167"/>
      <c r="O121" s="167"/>
      <c r="P121" s="167"/>
      <c r="Q121" s="167" t="s">
        <v>4</v>
      </c>
      <c r="R121" s="6"/>
    </row>
    <row r="122" spans="1:19" s="7" customFormat="1" ht="27" customHeight="1">
      <c r="A122" s="6"/>
      <c r="B122" s="169"/>
      <c r="C122" s="169"/>
      <c r="D122" s="169"/>
      <c r="E122" s="169"/>
      <c r="F122" s="167" t="s">
        <v>62</v>
      </c>
      <c r="G122" s="168" t="s">
        <v>6</v>
      </c>
      <c r="H122" s="169" t="s">
        <v>7</v>
      </c>
      <c r="I122" s="169"/>
      <c r="J122" s="168" t="s">
        <v>8</v>
      </c>
      <c r="K122" s="167" t="s">
        <v>62</v>
      </c>
      <c r="L122" s="168" t="s">
        <v>63</v>
      </c>
      <c r="M122" s="168" t="s">
        <v>6</v>
      </c>
      <c r="N122" s="169" t="s">
        <v>7</v>
      </c>
      <c r="O122" s="169"/>
      <c r="P122" s="168" t="s">
        <v>8</v>
      </c>
      <c r="Q122" s="167"/>
      <c r="R122" s="6"/>
    </row>
    <row r="123" spans="1:19" s="7" customFormat="1" ht="45.75" customHeight="1">
      <c r="A123" s="6"/>
      <c r="B123" s="169"/>
      <c r="C123" s="169"/>
      <c r="D123" s="169"/>
      <c r="E123" s="169"/>
      <c r="F123" s="167"/>
      <c r="G123" s="168"/>
      <c r="H123" s="153" t="s">
        <v>9</v>
      </c>
      <c r="I123" s="153" t="s">
        <v>10</v>
      </c>
      <c r="J123" s="168"/>
      <c r="K123" s="167"/>
      <c r="L123" s="168"/>
      <c r="M123" s="168"/>
      <c r="N123" s="153" t="s">
        <v>9</v>
      </c>
      <c r="O123" s="153" t="s">
        <v>10</v>
      </c>
      <c r="P123" s="168"/>
      <c r="Q123" s="167"/>
      <c r="R123" s="6"/>
    </row>
    <row r="124" spans="1:19" s="7" customFormat="1" ht="15.6" customHeight="1">
      <c r="A124" s="6"/>
      <c r="B124" s="153">
        <v>1</v>
      </c>
      <c r="C124" s="153">
        <v>2</v>
      </c>
      <c r="D124" s="153">
        <v>3</v>
      </c>
      <c r="E124" s="153">
        <v>4</v>
      </c>
      <c r="F124" s="151">
        <v>5</v>
      </c>
      <c r="G124" s="152">
        <v>6</v>
      </c>
      <c r="H124" s="153">
        <v>7</v>
      </c>
      <c r="I124" s="153">
        <v>8</v>
      </c>
      <c r="J124" s="152">
        <v>9</v>
      </c>
      <c r="K124" s="151">
        <v>10</v>
      </c>
      <c r="L124" s="152">
        <v>11</v>
      </c>
      <c r="M124" s="152">
        <v>12</v>
      </c>
      <c r="N124" s="153">
        <v>13</v>
      </c>
      <c r="O124" s="153">
        <v>14</v>
      </c>
      <c r="P124" s="152">
        <v>15</v>
      </c>
      <c r="Q124" s="151">
        <v>16</v>
      </c>
      <c r="R124" s="6"/>
    </row>
    <row r="125" spans="1:19" s="7" customFormat="1" ht="73.5" customHeight="1">
      <c r="A125" s="6"/>
      <c r="B125" s="87" t="s">
        <v>119</v>
      </c>
      <c r="C125" s="87" t="s">
        <v>120</v>
      </c>
      <c r="D125" s="87" t="s">
        <v>82</v>
      </c>
      <c r="E125" s="125" t="s">
        <v>121</v>
      </c>
      <c r="F125" s="14">
        <f>G125</f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f>M125</f>
        <v>75000</v>
      </c>
      <c r="L125" s="14">
        <v>0</v>
      </c>
      <c r="M125" s="30">
        <f>10000+65000</f>
        <v>75000</v>
      </c>
      <c r="N125" s="14">
        <v>0</v>
      </c>
      <c r="O125" s="14">
        <v>0</v>
      </c>
      <c r="P125" s="14">
        <v>0</v>
      </c>
      <c r="Q125" s="14">
        <f>F125+K125</f>
        <v>75000</v>
      </c>
      <c r="R125" s="6"/>
    </row>
    <row r="126" spans="1:19" customFormat="1" ht="48" hidden="1" customHeight="1">
      <c r="A126" s="1"/>
      <c r="B126" s="126"/>
      <c r="C126" s="127"/>
      <c r="D126" s="128"/>
      <c r="E126" s="129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67"/>
      <c r="S126" s="1"/>
    </row>
    <row r="127" spans="1:19" s="7" customFormat="1" ht="35.25" hidden="1" customHeight="1">
      <c r="A127" s="6"/>
      <c r="B127" s="87"/>
      <c r="C127" s="87"/>
      <c r="D127" s="87"/>
      <c r="E127" s="125"/>
      <c r="F127" s="14"/>
      <c r="G127" s="130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6"/>
    </row>
    <row r="128" spans="1:19" s="7" customFormat="1" ht="26.25" customHeight="1">
      <c r="A128" s="6"/>
      <c r="B128" s="109"/>
      <c r="C128" s="109" t="s">
        <v>130</v>
      </c>
      <c r="D128" s="109"/>
      <c r="E128" s="76" t="s">
        <v>131</v>
      </c>
      <c r="F128" s="51">
        <f>F129</f>
        <v>30000</v>
      </c>
      <c r="G128" s="51">
        <f t="shared" ref="G128:Q128" si="74">G129</f>
        <v>30000</v>
      </c>
      <c r="H128" s="51">
        <f t="shared" si="74"/>
        <v>0</v>
      </c>
      <c r="I128" s="51">
        <f t="shared" si="74"/>
        <v>20000</v>
      </c>
      <c r="J128" s="51">
        <f t="shared" si="74"/>
        <v>0</v>
      </c>
      <c r="K128" s="51">
        <f t="shared" si="74"/>
        <v>0</v>
      </c>
      <c r="L128" s="51">
        <f t="shared" si="74"/>
        <v>0</v>
      </c>
      <c r="M128" s="51">
        <f t="shared" si="74"/>
        <v>0</v>
      </c>
      <c r="N128" s="51">
        <f t="shared" si="74"/>
        <v>0</v>
      </c>
      <c r="O128" s="51">
        <f t="shared" si="74"/>
        <v>0</v>
      </c>
      <c r="P128" s="51">
        <f t="shared" si="74"/>
        <v>0</v>
      </c>
      <c r="Q128" s="51">
        <f t="shared" si="74"/>
        <v>30000</v>
      </c>
      <c r="R128" s="6"/>
    </row>
    <row r="129" spans="1:19" s="7" customFormat="1" ht="21.75" customHeight="1">
      <c r="A129" s="6"/>
      <c r="B129" s="87" t="s">
        <v>132</v>
      </c>
      <c r="C129" s="87" t="s">
        <v>133</v>
      </c>
      <c r="D129" s="87" t="s">
        <v>134</v>
      </c>
      <c r="E129" s="88" t="s">
        <v>135</v>
      </c>
      <c r="F129" s="14">
        <f>G129</f>
        <v>30000</v>
      </c>
      <c r="G129" s="30">
        <v>30000</v>
      </c>
      <c r="H129" s="14">
        <v>0</v>
      </c>
      <c r="I129" s="30">
        <v>20000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f>F129+K129</f>
        <v>30000</v>
      </c>
      <c r="R129" s="6"/>
    </row>
    <row r="130" spans="1:19" s="7" customFormat="1" ht="31.9" customHeight="1">
      <c r="A130" s="6"/>
      <c r="B130" s="109"/>
      <c r="C130" s="109" t="s">
        <v>122</v>
      </c>
      <c r="D130" s="109"/>
      <c r="E130" s="76" t="s">
        <v>123</v>
      </c>
      <c r="F130" s="51">
        <f>F131</f>
        <v>0</v>
      </c>
      <c r="G130" s="51">
        <f t="shared" ref="G130:Q132" si="75">G131</f>
        <v>0</v>
      </c>
      <c r="H130" s="51">
        <f t="shared" si="75"/>
        <v>0</v>
      </c>
      <c r="I130" s="51">
        <f t="shared" si="75"/>
        <v>0</v>
      </c>
      <c r="J130" s="51">
        <f t="shared" si="75"/>
        <v>0</v>
      </c>
      <c r="K130" s="51">
        <f>K131</f>
        <v>15000</v>
      </c>
      <c r="L130" s="51">
        <f t="shared" si="75"/>
        <v>0</v>
      </c>
      <c r="M130" s="51">
        <f t="shared" si="75"/>
        <v>15000</v>
      </c>
      <c r="N130" s="51">
        <f t="shared" si="75"/>
        <v>0</v>
      </c>
      <c r="O130" s="51">
        <f t="shared" si="75"/>
        <v>0</v>
      </c>
      <c r="P130" s="51">
        <f t="shared" si="75"/>
        <v>0</v>
      </c>
      <c r="Q130" s="51">
        <f t="shared" si="75"/>
        <v>15000</v>
      </c>
      <c r="R130" s="6"/>
    </row>
    <row r="131" spans="1:19" s="7" customFormat="1" ht="32.25" customHeight="1">
      <c r="A131" s="6"/>
      <c r="B131" s="87" t="s">
        <v>54</v>
      </c>
      <c r="C131" s="87" t="s">
        <v>81</v>
      </c>
      <c r="D131" s="87"/>
      <c r="E131" s="88" t="s">
        <v>55</v>
      </c>
      <c r="F131" s="14">
        <f>F132</f>
        <v>0</v>
      </c>
      <c r="G131" s="14">
        <f t="shared" si="75"/>
        <v>0</v>
      </c>
      <c r="H131" s="14">
        <f t="shared" si="75"/>
        <v>0</v>
      </c>
      <c r="I131" s="14">
        <f t="shared" si="75"/>
        <v>0</v>
      </c>
      <c r="J131" s="14">
        <f t="shared" si="75"/>
        <v>0</v>
      </c>
      <c r="K131" s="14">
        <f t="shared" si="75"/>
        <v>15000</v>
      </c>
      <c r="L131" s="14">
        <f t="shared" si="75"/>
        <v>0</v>
      </c>
      <c r="M131" s="14">
        <f t="shared" si="75"/>
        <v>15000</v>
      </c>
      <c r="N131" s="14">
        <f t="shared" si="75"/>
        <v>0</v>
      </c>
      <c r="O131" s="14">
        <f t="shared" si="75"/>
        <v>0</v>
      </c>
      <c r="P131" s="14">
        <f t="shared" si="75"/>
        <v>0</v>
      </c>
      <c r="Q131" s="14">
        <f>F131+K131</f>
        <v>15000</v>
      </c>
      <c r="R131" s="6"/>
    </row>
    <row r="132" spans="1:19" s="7" customFormat="1" ht="28.5" customHeight="1">
      <c r="A132" s="6"/>
      <c r="B132" s="87" t="s">
        <v>56</v>
      </c>
      <c r="C132" s="87" t="s">
        <v>77</v>
      </c>
      <c r="D132" s="87" t="s">
        <v>57</v>
      </c>
      <c r="E132" s="88" t="s">
        <v>58</v>
      </c>
      <c r="F132" s="14">
        <f>F133</f>
        <v>0</v>
      </c>
      <c r="G132" s="14">
        <f t="shared" si="75"/>
        <v>0</v>
      </c>
      <c r="H132" s="14">
        <f t="shared" si="75"/>
        <v>0</v>
      </c>
      <c r="I132" s="14">
        <f t="shared" si="75"/>
        <v>0</v>
      </c>
      <c r="J132" s="14">
        <f t="shared" si="75"/>
        <v>0</v>
      </c>
      <c r="K132" s="14">
        <f t="shared" si="75"/>
        <v>15000</v>
      </c>
      <c r="L132" s="14">
        <f t="shared" si="75"/>
        <v>0</v>
      </c>
      <c r="M132" s="14">
        <f t="shared" si="75"/>
        <v>15000</v>
      </c>
      <c r="N132" s="14">
        <f t="shared" si="75"/>
        <v>0</v>
      </c>
      <c r="O132" s="14">
        <f t="shared" si="75"/>
        <v>0</v>
      </c>
      <c r="P132" s="14">
        <f t="shared" si="75"/>
        <v>0</v>
      </c>
      <c r="Q132" s="14">
        <f t="shared" si="75"/>
        <v>15000</v>
      </c>
      <c r="R132" s="6"/>
    </row>
    <row r="133" spans="1:19" s="7" customFormat="1" ht="21" customHeight="1">
      <c r="A133" s="6"/>
      <c r="B133" s="87"/>
      <c r="C133" s="87"/>
      <c r="D133" s="87"/>
      <c r="E133" s="89" t="s">
        <v>19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f>M133</f>
        <v>15000</v>
      </c>
      <c r="L133" s="14">
        <v>0</v>
      </c>
      <c r="M133" s="30">
        <v>15000</v>
      </c>
      <c r="N133" s="14">
        <v>0</v>
      </c>
      <c r="O133" s="14">
        <v>0</v>
      </c>
      <c r="P133" s="14">
        <v>0</v>
      </c>
      <c r="Q133" s="14">
        <f>F133+K133</f>
        <v>15000</v>
      </c>
      <c r="R133" s="6"/>
    </row>
    <row r="134" spans="1:19" s="34" customFormat="1" ht="24.75" customHeight="1">
      <c r="A134" s="32"/>
      <c r="B134" s="69" t="s">
        <v>143</v>
      </c>
      <c r="C134" s="70" t="s">
        <v>3</v>
      </c>
      <c r="D134" s="71" t="s">
        <v>3</v>
      </c>
      <c r="E134" s="72" t="s">
        <v>144</v>
      </c>
      <c r="F134" s="73">
        <f>F135</f>
        <v>2196738</v>
      </c>
      <c r="G134" s="73">
        <f t="shared" ref="G134:P134" si="76">G135</f>
        <v>2096738</v>
      </c>
      <c r="H134" s="73">
        <f t="shared" si="76"/>
        <v>565000</v>
      </c>
      <c r="I134" s="73">
        <f t="shared" si="76"/>
        <v>10000</v>
      </c>
      <c r="J134" s="73">
        <f t="shared" si="76"/>
        <v>0</v>
      </c>
      <c r="K134" s="73">
        <f t="shared" si="76"/>
        <v>1079475</v>
      </c>
      <c r="L134" s="73">
        <f t="shared" si="76"/>
        <v>1079475</v>
      </c>
      <c r="M134" s="73">
        <f t="shared" si="76"/>
        <v>0</v>
      </c>
      <c r="N134" s="73">
        <f t="shared" si="76"/>
        <v>0</v>
      </c>
      <c r="O134" s="73">
        <f t="shared" si="76"/>
        <v>0</v>
      </c>
      <c r="P134" s="73">
        <f t="shared" si="76"/>
        <v>1079475</v>
      </c>
      <c r="Q134" s="73">
        <f>Q135</f>
        <v>3276213</v>
      </c>
      <c r="R134" s="68">
        <f t="shared" ref="R134:S134" si="77">R135</f>
        <v>0</v>
      </c>
      <c r="S134" s="33">
        <f t="shared" si="77"/>
        <v>0</v>
      </c>
    </row>
    <row r="135" spans="1:19" s="7" customFormat="1" ht="25.5" customHeight="1">
      <c r="A135" s="6"/>
      <c r="B135" s="74" t="s">
        <v>145</v>
      </c>
      <c r="C135" s="75"/>
      <c r="D135" s="151"/>
      <c r="E135" s="76" t="s">
        <v>144</v>
      </c>
      <c r="F135" s="51">
        <f>F136+F140+F138</f>
        <v>2196738</v>
      </c>
      <c r="G135" s="51">
        <f t="shared" ref="G135:Q135" si="78">G136+G140+G138</f>
        <v>2096738</v>
      </c>
      <c r="H135" s="51">
        <f t="shared" si="78"/>
        <v>565000</v>
      </c>
      <c r="I135" s="51">
        <f t="shared" si="78"/>
        <v>10000</v>
      </c>
      <c r="J135" s="51">
        <f t="shared" si="78"/>
        <v>0</v>
      </c>
      <c r="K135" s="51">
        <f t="shared" si="78"/>
        <v>1079475</v>
      </c>
      <c r="L135" s="51">
        <f t="shared" si="78"/>
        <v>1079475</v>
      </c>
      <c r="M135" s="51">
        <f t="shared" si="78"/>
        <v>0</v>
      </c>
      <c r="N135" s="51">
        <f t="shared" si="78"/>
        <v>0</v>
      </c>
      <c r="O135" s="51">
        <f t="shared" si="78"/>
        <v>0</v>
      </c>
      <c r="P135" s="51">
        <f t="shared" si="78"/>
        <v>1079475</v>
      </c>
      <c r="Q135" s="51">
        <f t="shared" si="78"/>
        <v>3276213</v>
      </c>
      <c r="R135" s="9">
        <f t="shared" ref="R135:S135" si="79">R136+R140+R138</f>
        <v>0</v>
      </c>
      <c r="S135" s="8">
        <f t="shared" si="79"/>
        <v>0</v>
      </c>
    </row>
    <row r="136" spans="1:19" s="7" customFormat="1" ht="15.75" customHeight="1">
      <c r="A136" s="6"/>
      <c r="B136" s="74"/>
      <c r="C136" s="74" t="s">
        <v>83</v>
      </c>
      <c r="D136" s="151"/>
      <c r="E136" s="76" t="s">
        <v>84</v>
      </c>
      <c r="F136" s="51">
        <f>F137</f>
        <v>762000</v>
      </c>
      <c r="G136" s="51">
        <f t="shared" ref="G136:P136" si="80">G137</f>
        <v>762000</v>
      </c>
      <c r="H136" s="51">
        <f t="shared" si="80"/>
        <v>565000</v>
      </c>
      <c r="I136" s="51">
        <f>I137</f>
        <v>10000</v>
      </c>
      <c r="J136" s="51">
        <f t="shared" si="80"/>
        <v>0</v>
      </c>
      <c r="K136" s="51">
        <f t="shared" si="80"/>
        <v>0</v>
      </c>
      <c r="L136" s="51">
        <f>L137</f>
        <v>0</v>
      </c>
      <c r="M136" s="51">
        <f>M137</f>
        <v>0</v>
      </c>
      <c r="N136" s="51">
        <f t="shared" si="80"/>
        <v>0</v>
      </c>
      <c r="O136" s="51">
        <f t="shared" si="80"/>
        <v>0</v>
      </c>
      <c r="P136" s="51">
        <f t="shared" si="80"/>
        <v>0</v>
      </c>
      <c r="Q136" s="51">
        <f t="shared" ref="Q136" si="81">F136+K136</f>
        <v>762000</v>
      </c>
      <c r="R136" s="6"/>
    </row>
    <row r="137" spans="1:19" s="29" customFormat="1" ht="45" customHeight="1">
      <c r="A137" s="27"/>
      <c r="B137" s="131">
        <v>3710160</v>
      </c>
      <c r="C137" s="131" t="s">
        <v>88</v>
      </c>
      <c r="D137" s="131" t="s">
        <v>13</v>
      </c>
      <c r="E137" s="132" t="s">
        <v>14</v>
      </c>
      <c r="F137" s="28">
        <f>G137</f>
        <v>762000</v>
      </c>
      <c r="G137" s="39">
        <f>765000+15000-5000-13000</f>
        <v>762000</v>
      </c>
      <c r="H137" s="39">
        <v>565000</v>
      </c>
      <c r="I137" s="39">
        <f>23000-13000</f>
        <v>10000</v>
      </c>
      <c r="J137" s="28">
        <v>0</v>
      </c>
      <c r="K137" s="28">
        <f>L137</f>
        <v>0</v>
      </c>
      <c r="L137" s="39">
        <v>0</v>
      </c>
      <c r="M137" s="28">
        <v>0</v>
      </c>
      <c r="N137" s="28">
        <v>0</v>
      </c>
      <c r="O137" s="28">
        <v>0</v>
      </c>
      <c r="P137" s="28">
        <f>L137</f>
        <v>0</v>
      </c>
      <c r="Q137" s="28">
        <f>K137+F137</f>
        <v>762000</v>
      </c>
      <c r="R137" s="27"/>
    </row>
    <row r="138" spans="1:19" s="48" customFormat="1" ht="21.75" customHeight="1">
      <c r="A138" s="47"/>
      <c r="B138" s="133"/>
      <c r="C138" s="133" t="s">
        <v>124</v>
      </c>
      <c r="D138" s="133"/>
      <c r="E138" s="134" t="s">
        <v>125</v>
      </c>
      <c r="F138" s="135">
        <f>F139</f>
        <v>100000</v>
      </c>
      <c r="G138" s="135">
        <f t="shared" ref="G138:P138" si="82">G139</f>
        <v>0</v>
      </c>
      <c r="H138" s="135">
        <f t="shared" si="82"/>
        <v>0</v>
      </c>
      <c r="I138" s="135">
        <f t="shared" si="82"/>
        <v>0</v>
      </c>
      <c r="J138" s="135">
        <f t="shared" si="82"/>
        <v>0</v>
      </c>
      <c r="K138" s="135">
        <f t="shared" si="82"/>
        <v>0</v>
      </c>
      <c r="L138" s="135">
        <f t="shared" si="82"/>
        <v>0</v>
      </c>
      <c r="M138" s="135">
        <f t="shared" si="82"/>
        <v>0</v>
      </c>
      <c r="N138" s="135">
        <f t="shared" si="82"/>
        <v>0</v>
      </c>
      <c r="O138" s="135">
        <f t="shared" si="82"/>
        <v>0</v>
      </c>
      <c r="P138" s="135">
        <f t="shared" si="82"/>
        <v>0</v>
      </c>
      <c r="Q138" s="136">
        <f t="shared" ref="Q138" si="83">F138+K138</f>
        <v>100000</v>
      </c>
      <c r="R138" s="47"/>
    </row>
    <row r="139" spans="1:19" s="38" customFormat="1" ht="18.75" customHeight="1">
      <c r="A139" s="36"/>
      <c r="B139" s="119" t="s">
        <v>183</v>
      </c>
      <c r="C139" s="120">
        <v>8710</v>
      </c>
      <c r="D139" s="119" t="s">
        <v>59</v>
      </c>
      <c r="E139" s="137" t="s">
        <v>187</v>
      </c>
      <c r="F139" s="138">
        <v>100000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f t="shared" ref="Q139" si="84">F139+K139</f>
        <v>100000</v>
      </c>
      <c r="R139" s="36"/>
    </row>
    <row r="140" spans="1:19" s="7" customFormat="1" ht="24" customHeight="1">
      <c r="A140" s="6"/>
      <c r="B140" s="139"/>
      <c r="C140" s="151">
        <v>9000</v>
      </c>
      <c r="D140" s="109"/>
      <c r="E140" s="140" t="s">
        <v>212</v>
      </c>
      <c r="F140" s="51">
        <f>SUM(F141:F143)</f>
        <v>1334738</v>
      </c>
      <c r="G140" s="51">
        <f t="shared" ref="G140:Q140" si="85">SUM(G141:G143)</f>
        <v>1334738</v>
      </c>
      <c r="H140" s="51">
        <f t="shared" si="85"/>
        <v>0</v>
      </c>
      <c r="I140" s="51">
        <f t="shared" si="85"/>
        <v>0</v>
      </c>
      <c r="J140" s="51">
        <f t="shared" si="85"/>
        <v>0</v>
      </c>
      <c r="K140" s="51">
        <f t="shared" si="85"/>
        <v>1079475</v>
      </c>
      <c r="L140" s="51">
        <f t="shared" si="85"/>
        <v>1079475</v>
      </c>
      <c r="M140" s="51">
        <f t="shared" si="85"/>
        <v>0</v>
      </c>
      <c r="N140" s="51">
        <f t="shared" si="85"/>
        <v>0</v>
      </c>
      <c r="O140" s="51">
        <f t="shared" si="85"/>
        <v>0</v>
      </c>
      <c r="P140" s="51">
        <f t="shared" si="85"/>
        <v>1079475</v>
      </c>
      <c r="Q140" s="51">
        <f t="shared" si="85"/>
        <v>2414213</v>
      </c>
      <c r="R140" s="6"/>
    </row>
    <row r="141" spans="1:19" s="7" customFormat="1" ht="29.25" customHeight="1">
      <c r="A141" s="6"/>
      <c r="B141" s="141">
        <v>3719750</v>
      </c>
      <c r="C141" s="153">
        <v>9750</v>
      </c>
      <c r="D141" s="141" t="s">
        <v>60</v>
      </c>
      <c r="E141" s="125" t="s">
        <v>211</v>
      </c>
      <c r="F141" s="142">
        <v>0</v>
      </c>
      <c r="G141" s="142">
        <v>0</v>
      </c>
      <c r="H141" s="142">
        <v>0</v>
      </c>
      <c r="I141" s="142">
        <v>0</v>
      </c>
      <c r="J141" s="142">
        <v>0</v>
      </c>
      <c r="K141" s="28">
        <f>L141</f>
        <v>1079475</v>
      </c>
      <c r="L141" s="39">
        <v>1079475</v>
      </c>
      <c r="M141" s="28">
        <v>0</v>
      </c>
      <c r="N141" s="28">
        <v>0</v>
      </c>
      <c r="O141" s="28">
        <v>0</v>
      </c>
      <c r="P141" s="28">
        <f>L141</f>
        <v>1079475</v>
      </c>
      <c r="Q141" s="143">
        <f>F141+K141</f>
        <v>1079475</v>
      </c>
      <c r="R141" s="6"/>
    </row>
    <row r="142" spans="1:19" s="19" customFormat="1" ht="25.5" customHeight="1">
      <c r="A142" s="18"/>
      <c r="B142" s="141">
        <v>3719770</v>
      </c>
      <c r="C142" s="141" t="s">
        <v>78</v>
      </c>
      <c r="D142" s="141" t="s">
        <v>60</v>
      </c>
      <c r="E142" s="144" t="s">
        <v>61</v>
      </c>
      <c r="F142" s="142">
        <f>G142</f>
        <v>1294738</v>
      </c>
      <c r="G142" s="80">
        <f>657614+25000+70000+12000+180000+293000+21052+36072</f>
        <v>1294738</v>
      </c>
      <c r="H142" s="142">
        <v>0</v>
      </c>
      <c r="I142" s="142">
        <v>0</v>
      </c>
      <c r="J142" s="142">
        <v>0</v>
      </c>
      <c r="K142" s="142">
        <v>0</v>
      </c>
      <c r="L142" s="142">
        <v>0</v>
      </c>
      <c r="M142" s="142">
        <v>0</v>
      </c>
      <c r="N142" s="142">
        <v>0</v>
      </c>
      <c r="O142" s="142">
        <v>0</v>
      </c>
      <c r="P142" s="142">
        <v>0</v>
      </c>
      <c r="Q142" s="143">
        <f>F142+K142</f>
        <v>1294738</v>
      </c>
      <c r="R142" s="18"/>
    </row>
    <row r="143" spans="1:19" s="48" customFormat="1" ht="36.75" customHeight="1">
      <c r="A143" s="47"/>
      <c r="B143" s="145" t="s">
        <v>189</v>
      </c>
      <c r="C143" s="146">
        <v>9800</v>
      </c>
      <c r="D143" s="141" t="s">
        <v>60</v>
      </c>
      <c r="E143" s="147" t="s">
        <v>190</v>
      </c>
      <c r="F143" s="136">
        <f>G143</f>
        <v>40000</v>
      </c>
      <c r="G143" s="148">
        <v>40000</v>
      </c>
      <c r="H143" s="142">
        <v>0</v>
      </c>
      <c r="I143" s="142">
        <v>0</v>
      </c>
      <c r="J143" s="142">
        <v>0</v>
      </c>
      <c r="K143" s="142">
        <v>0</v>
      </c>
      <c r="L143" s="142">
        <v>0</v>
      </c>
      <c r="M143" s="142">
        <v>0</v>
      </c>
      <c r="N143" s="142">
        <v>0</v>
      </c>
      <c r="O143" s="142">
        <v>0</v>
      </c>
      <c r="P143" s="142">
        <v>0</v>
      </c>
      <c r="Q143" s="149">
        <f t="shared" ref="Q143" si="86">F143+K143</f>
        <v>40000</v>
      </c>
      <c r="R143" s="47"/>
    </row>
    <row r="144" spans="1:19" s="21" customFormat="1" ht="16.899999999999999" customHeight="1">
      <c r="A144" s="20"/>
      <c r="B144" s="151" t="s">
        <v>3</v>
      </c>
      <c r="C144" s="151" t="s">
        <v>3</v>
      </c>
      <c r="D144" s="151" t="s">
        <v>3</v>
      </c>
      <c r="E144" s="150" t="s">
        <v>1</v>
      </c>
      <c r="F144" s="51">
        <f t="shared" ref="F144:Q144" si="87">F134+F12</f>
        <v>71132982.180000007</v>
      </c>
      <c r="G144" s="51">
        <f t="shared" si="87"/>
        <v>71032982.180000007</v>
      </c>
      <c r="H144" s="51">
        <f t="shared" si="87"/>
        <v>46038695.480000004</v>
      </c>
      <c r="I144" s="51">
        <f t="shared" si="87"/>
        <v>3450500</v>
      </c>
      <c r="J144" s="51">
        <f t="shared" si="87"/>
        <v>0</v>
      </c>
      <c r="K144" s="51">
        <f t="shared" si="87"/>
        <v>6175018</v>
      </c>
      <c r="L144" s="51">
        <f t="shared" si="87"/>
        <v>5132018</v>
      </c>
      <c r="M144" s="51">
        <f t="shared" si="87"/>
        <v>1043000</v>
      </c>
      <c r="N144" s="51">
        <f t="shared" si="87"/>
        <v>10000</v>
      </c>
      <c r="O144" s="51">
        <f t="shared" si="87"/>
        <v>0</v>
      </c>
      <c r="P144" s="51">
        <f t="shared" si="87"/>
        <v>5132018</v>
      </c>
      <c r="Q144" s="51">
        <f t="shared" si="87"/>
        <v>77308000.180000007</v>
      </c>
      <c r="R144" s="9" t="e">
        <f>R14+R16+R51+R62+R83+R89+R97+R109+#REF!+#REF!+#REF!+R130+R112</f>
        <v>#REF!</v>
      </c>
      <c r="S144" s="8" t="e">
        <f>S14+S16+S51+S62+S83+S89+S97+S109+#REF!+#REF!+#REF!+S130+S112</f>
        <v>#REF!</v>
      </c>
    </row>
    <row r="145" spans="2:20" s="22" customFormat="1" ht="104.25" customHeight="1">
      <c r="B145" s="158"/>
      <c r="C145" s="158"/>
      <c r="D145" s="158"/>
      <c r="E145" s="158" t="s">
        <v>217</v>
      </c>
      <c r="F145" s="158"/>
      <c r="G145" s="158"/>
      <c r="H145" s="158"/>
      <c r="I145" s="158"/>
      <c r="J145" s="158"/>
      <c r="K145" s="158" t="s">
        <v>218</v>
      </c>
      <c r="L145" s="158"/>
      <c r="M145" s="158"/>
      <c r="N145" s="158"/>
      <c r="O145" s="158"/>
      <c r="P145" s="158"/>
      <c r="Q145" s="158"/>
      <c r="T145" s="23"/>
    </row>
    <row r="146" spans="2:20" ht="39" customHeight="1">
      <c r="G146" s="24">
        <f>F144-G144</f>
        <v>100000</v>
      </c>
      <c r="H146" s="2" t="s">
        <v>233</v>
      </c>
    </row>
    <row r="147" spans="2:20">
      <c r="F147" s="3"/>
      <c r="K147" s="157" t="s">
        <v>219</v>
      </c>
      <c r="L147" s="174">
        <f>978000+27000</f>
        <v>1005000</v>
      </c>
      <c r="M147" s="174"/>
      <c r="O147" s="175"/>
      <c r="P147" s="175"/>
    </row>
    <row r="148" spans="2:20" ht="21" customHeight="1">
      <c r="F148" s="24" t="s">
        <v>221</v>
      </c>
      <c r="G148" s="2">
        <f>67592411+117386</f>
        <v>67709797</v>
      </c>
      <c r="K148" s="156" t="s">
        <v>220</v>
      </c>
      <c r="M148" s="155">
        <f>L147-K144</f>
        <v>-5170018</v>
      </c>
    </row>
    <row r="149" spans="2:20" ht="16.5" customHeight="1">
      <c r="F149" s="156" t="s">
        <v>220</v>
      </c>
      <c r="G149" s="66"/>
    </row>
    <row r="150" spans="2:20" ht="18.75" customHeight="1">
      <c r="G150" s="154">
        <f>G148-F144</f>
        <v>-3423185.1800000072</v>
      </c>
    </row>
    <row r="151" spans="2:20" ht="16.899999999999999" customHeight="1"/>
    <row r="152" spans="2:20" ht="29.25" customHeight="1"/>
    <row r="153" spans="2:20" ht="40.5" customHeight="1"/>
    <row r="154" spans="2:20" ht="28.5" customHeight="1"/>
    <row r="155" spans="2:20" ht="66.599999999999994" customHeight="1">
      <c r="K155" s="2"/>
      <c r="L155" s="2"/>
      <c r="M155" s="2"/>
      <c r="N155" s="2"/>
      <c r="O155" s="2"/>
      <c r="P155" s="2"/>
      <c r="Q155" s="2"/>
    </row>
    <row r="156" spans="2:20" ht="34.15" customHeight="1">
      <c r="K156" s="2"/>
      <c r="L156" s="2"/>
      <c r="M156" s="2"/>
      <c r="N156" s="2"/>
      <c r="O156" s="2"/>
      <c r="P156" s="2"/>
      <c r="Q156" s="2"/>
    </row>
    <row r="157" spans="2:20" ht="58.15" customHeight="1">
      <c r="K157" s="2"/>
      <c r="L157" s="2"/>
      <c r="M157" s="2"/>
      <c r="N157" s="2"/>
      <c r="O157" s="2"/>
      <c r="P157" s="2"/>
      <c r="Q157" s="2"/>
    </row>
    <row r="158" spans="2:20" ht="58.15" customHeight="1">
      <c r="K158" s="2"/>
      <c r="L158" s="2"/>
      <c r="M158" s="2"/>
      <c r="N158" s="2"/>
      <c r="O158" s="2"/>
      <c r="P158" s="2"/>
      <c r="Q158" s="2"/>
    </row>
    <row r="159" spans="2:20" ht="19.899999999999999" customHeight="1">
      <c r="K159" s="2"/>
      <c r="L159" s="2"/>
      <c r="M159" s="2"/>
      <c r="N159" s="2"/>
      <c r="O159" s="2"/>
      <c r="P159" s="2"/>
      <c r="Q159" s="2"/>
    </row>
    <row r="160" spans="2:20" ht="40.15" customHeight="1">
      <c r="K160" s="2"/>
      <c r="L160" s="2"/>
      <c r="M160" s="2"/>
      <c r="N160" s="2"/>
      <c r="O160" s="2"/>
      <c r="P160" s="2"/>
      <c r="Q160" s="2"/>
    </row>
    <row r="161" spans="11:17" ht="40.15" customHeight="1">
      <c r="K161" s="2"/>
      <c r="L161" s="2"/>
      <c r="M161" s="2"/>
      <c r="N161" s="2"/>
      <c r="O161" s="2"/>
      <c r="P161" s="2"/>
      <c r="Q161" s="2"/>
    </row>
    <row r="162" spans="11:17" ht="49.15" customHeight="1">
      <c r="K162" s="2"/>
      <c r="L162" s="2"/>
      <c r="M162" s="2"/>
      <c r="N162" s="2"/>
      <c r="O162" s="2"/>
      <c r="P162" s="2"/>
      <c r="Q162" s="2"/>
    </row>
    <row r="163" spans="11:17" ht="16.149999999999999" customHeight="1">
      <c r="K163" s="2"/>
      <c r="L163" s="2"/>
      <c r="M163" s="2"/>
      <c r="N163" s="2"/>
      <c r="O163" s="2"/>
      <c r="P163" s="2"/>
      <c r="Q163" s="2"/>
    </row>
    <row r="164" spans="11:17" ht="16.149999999999999" customHeight="1">
      <c r="K164" s="2"/>
      <c r="L164" s="2"/>
      <c r="M164" s="2"/>
      <c r="N164" s="2"/>
      <c r="O164" s="2"/>
      <c r="P164" s="2"/>
      <c r="Q164" s="2"/>
    </row>
    <row r="165" spans="11:17" ht="42.75" customHeight="1">
      <c r="K165" s="2"/>
      <c r="L165" s="2"/>
      <c r="M165" s="2"/>
      <c r="N165" s="2"/>
      <c r="O165" s="2"/>
      <c r="P165" s="2"/>
      <c r="Q165" s="2"/>
    </row>
    <row r="166" spans="11:17" ht="17.45" customHeight="1">
      <c r="K166" s="2"/>
      <c r="L166" s="2"/>
      <c r="M166" s="2"/>
      <c r="N166" s="2"/>
      <c r="O166" s="2"/>
      <c r="P166" s="2"/>
      <c r="Q166" s="2"/>
    </row>
    <row r="167" spans="11:17" ht="15" hidden="1" customHeight="1">
      <c r="K167" s="2"/>
      <c r="L167" s="2"/>
      <c r="M167" s="2"/>
      <c r="N167" s="2"/>
      <c r="O167" s="2"/>
      <c r="P167" s="2"/>
      <c r="Q167" s="2"/>
    </row>
    <row r="168" spans="11:17" ht="61.9" customHeight="1">
      <c r="K168" s="2"/>
      <c r="L168" s="2"/>
      <c r="M168" s="2"/>
      <c r="N168" s="2"/>
      <c r="O168" s="2"/>
      <c r="P168" s="2"/>
      <c r="Q168" s="2"/>
    </row>
    <row r="169" spans="11:17" ht="27" customHeight="1">
      <c r="K169" s="2"/>
      <c r="L169" s="2"/>
      <c r="M169" s="2"/>
      <c r="N169" s="2"/>
      <c r="O169" s="2"/>
      <c r="P169" s="2"/>
      <c r="Q169" s="2"/>
    </row>
    <row r="170" spans="11:17" ht="35.25" customHeight="1">
      <c r="K170" s="2"/>
      <c r="L170" s="2"/>
      <c r="M170" s="2"/>
      <c r="N170" s="2"/>
      <c r="O170" s="2"/>
      <c r="P170" s="2"/>
      <c r="Q170" s="2"/>
    </row>
    <row r="171" spans="11:17" ht="60" customHeight="1">
      <c r="K171" s="2"/>
      <c r="L171" s="2"/>
      <c r="M171" s="2"/>
      <c r="N171" s="2"/>
      <c r="O171" s="2"/>
      <c r="P171" s="2"/>
      <c r="Q171" s="2"/>
    </row>
    <row r="172" spans="11:17" ht="27" customHeight="1">
      <c r="K172" s="2"/>
      <c r="L172" s="2"/>
      <c r="M172" s="2"/>
      <c r="N172" s="2"/>
      <c r="O172" s="2"/>
      <c r="P172" s="2"/>
      <c r="Q172" s="2"/>
    </row>
    <row r="173" spans="11:17" ht="54.75" customHeight="1">
      <c r="K173" s="2"/>
      <c r="L173" s="2"/>
      <c r="M173" s="2"/>
      <c r="N173" s="2"/>
      <c r="O173" s="2"/>
      <c r="P173" s="2"/>
      <c r="Q173" s="2"/>
    </row>
    <row r="174" spans="11:17" ht="23.45" customHeight="1">
      <c r="K174" s="2"/>
      <c r="L174" s="2"/>
      <c r="M174" s="2"/>
      <c r="N174" s="2"/>
      <c r="O174" s="2"/>
      <c r="P174" s="2"/>
      <c r="Q174" s="2"/>
    </row>
    <row r="175" spans="11:17" ht="15" hidden="1" customHeight="1">
      <c r="K175" s="2"/>
      <c r="L175" s="2"/>
      <c r="M175" s="2"/>
      <c r="N175" s="2"/>
      <c r="O175" s="2"/>
      <c r="P175" s="2"/>
      <c r="Q175" s="2"/>
    </row>
    <row r="176" spans="11:17" ht="77.45" customHeight="1">
      <c r="K176" s="2"/>
      <c r="L176" s="2"/>
      <c r="M176" s="2"/>
      <c r="N176" s="2"/>
      <c r="O176" s="2"/>
      <c r="P176" s="2"/>
      <c r="Q176" s="2"/>
    </row>
    <row r="177" spans="11:17" ht="24.75" customHeight="1">
      <c r="K177" s="2"/>
      <c r="L177" s="2"/>
      <c r="M177" s="2"/>
      <c r="N177" s="2"/>
      <c r="O177" s="2"/>
      <c r="P177" s="2"/>
      <c r="Q177" s="2"/>
    </row>
    <row r="178" spans="11:17" ht="18" customHeight="1">
      <c r="K178" s="2"/>
      <c r="L178" s="2"/>
      <c r="M178" s="2"/>
      <c r="N178" s="2"/>
      <c r="O178" s="2"/>
      <c r="P178" s="2"/>
      <c r="Q178" s="2"/>
    </row>
    <row r="179" spans="11:17" ht="118.15" customHeight="1">
      <c r="K179" s="2"/>
      <c r="L179" s="2"/>
      <c r="M179" s="2"/>
      <c r="N179" s="2"/>
      <c r="O179" s="2"/>
      <c r="P179" s="2"/>
      <c r="Q179" s="2"/>
    </row>
    <row r="180" spans="11:17" ht="20.45" customHeight="1">
      <c r="K180" s="2"/>
      <c r="L180" s="2"/>
      <c r="M180" s="2"/>
      <c r="N180" s="2"/>
      <c r="O180" s="2"/>
      <c r="P180" s="2"/>
      <c r="Q180" s="2"/>
    </row>
    <row r="181" spans="11:17" ht="52.5" customHeight="1">
      <c r="K181" s="2"/>
      <c r="L181" s="2"/>
      <c r="M181" s="2"/>
      <c r="N181" s="2"/>
      <c r="O181" s="2"/>
      <c r="P181" s="2"/>
      <c r="Q181" s="2"/>
    </row>
    <row r="182" spans="11:17" ht="51.75" customHeight="1">
      <c r="K182" s="2"/>
      <c r="L182" s="2"/>
      <c r="M182" s="2"/>
      <c r="N182" s="2"/>
      <c r="O182" s="2"/>
      <c r="P182" s="2"/>
      <c r="Q182" s="2"/>
    </row>
    <row r="183" spans="11:17" ht="25.5" customHeight="1">
      <c r="K183" s="2"/>
      <c r="L183" s="2"/>
      <c r="M183" s="2"/>
      <c r="N183" s="2"/>
      <c r="O183" s="2"/>
      <c r="P183" s="2"/>
      <c r="Q183" s="2"/>
    </row>
    <row r="184" spans="11:17" ht="51.75" customHeight="1">
      <c r="K184" s="2"/>
      <c r="L184" s="2"/>
      <c r="M184" s="2"/>
      <c r="N184" s="2"/>
      <c r="O184" s="2"/>
      <c r="P184" s="2"/>
      <c r="Q184" s="2"/>
    </row>
    <row r="185" spans="11:17" ht="57.75" customHeight="1">
      <c r="K185" s="2"/>
      <c r="L185" s="2"/>
      <c r="M185" s="2"/>
      <c r="N185" s="2"/>
      <c r="O185" s="2"/>
      <c r="P185" s="2"/>
      <c r="Q185" s="2"/>
    </row>
    <row r="186" spans="11:17" ht="28.9" customHeight="1">
      <c r="K186" s="2"/>
      <c r="L186" s="2"/>
      <c r="M186" s="2"/>
      <c r="N186" s="2"/>
      <c r="O186" s="2"/>
      <c r="P186" s="2"/>
      <c r="Q186" s="2"/>
    </row>
    <row r="187" spans="11:17" ht="25.5" customHeight="1">
      <c r="K187" s="2"/>
      <c r="L187" s="2"/>
      <c r="M187" s="2"/>
      <c r="N187" s="2"/>
      <c r="O187" s="2"/>
      <c r="P187" s="2"/>
      <c r="Q187" s="2"/>
    </row>
    <row r="188" spans="11:17" ht="25.5" customHeight="1">
      <c r="K188" s="2"/>
      <c r="L188" s="2"/>
      <c r="M188" s="2"/>
      <c r="N188" s="2"/>
      <c r="O188" s="2"/>
      <c r="P188" s="2"/>
      <c r="Q188" s="2"/>
    </row>
    <row r="189" spans="11:17" ht="18" customHeight="1">
      <c r="K189" s="2"/>
      <c r="L189" s="2"/>
      <c r="M189" s="2"/>
      <c r="N189" s="2"/>
      <c r="O189" s="2"/>
      <c r="P189" s="2"/>
      <c r="Q189" s="2"/>
    </row>
    <row r="190" spans="11:17" ht="20.45" customHeight="1">
      <c r="K190" s="2"/>
      <c r="L190" s="2"/>
      <c r="M190" s="2"/>
      <c r="N190" s="2"/>
      <c r="O190" s="2"/>
      <c r="P190" s="2"/>
      <c r="Q190" s="2"/>
    </row>
    <row r="191" spans="11:17">
      <c r="K191" s="2"/>
      <c r="L191" s="2"/>
      <c r="M191" s="2"/>
      <c r="N191" s="2"/>
      <c r="O191" s="2"/>
      <c r="P191" s="2"/>
      <c r="Q191" s="2"/>
    </row>
    <row r="192" spans="11:17" ht="25.5" customHeight="1">
      <c r="K192" s="2"/>
      <c r="L192" s="2"/>
      <c r="M192" s="2"/>
      <c r="N192" s="2"/>
      <c r="O192" s="2"/>
      <c r="P192" s="2"/>
      <c r="Q192" s="2"/>
    </row>
    <row r="193" spans="11:17" ht="25.5" customHeight="1">
      <c r="K193" s="2"/>
      <c r="L193" s="2"/>
      <c r="M193" s="2"/>
      <c r="N193" s="2"/>
      <c r="O193" s="2"/>
      <c r="P193" s="2"/>
      <c r="Q193" s="2"/>
    </row>
    <row r="194" spans="11:17" ht="25.5" customHeight="1">
      <c r="K194" s="2"/>
      <c r="L194" s="2"/>
      <c r="M194" s="2"/>
      <c r="N194" s="2"/>
      <c r="O194" s="2"/>
      <c r="P194" s="2"/>
      <c r="Q194" s="2"/>
    </row>
    <row r="195" spans="11:17">
      <c r="K195" s="2"/>
      <c r="L195" s="2"/>
      <c r="M195" s="2"/>
      <c r="N195" s="2"/>
      <c r="O195" s="2"/>
      <c r="P195" s="2"/>
      <c r="Q195" s="2"/>
    </row>
    <row r="197" spans="11:17">
      <c r="K197" s="2"/>
      <c r="L197" s="2"/>
      <c r="M197" s="2"/>
      <c r="N197" s="2"/>
      <c r="O197" s="2"/>
      <c r="P197" s="2"/>
      <c r="Q197" s="2"/>
    </row>
    <row r="198" spans="11:17">
      <c r="K198" s="2"/>
      <c r="L198" s="2"/>
      <c r="M198" s="2"/>
      <c r="N198" s="2"/>
      <c r="O198" s="2"/>
      <c r="P198" s="2"/>
      <c r="Q198" s="2"/>
    </row>
    <row r="199" spans="11:17">
      <c r="K199" s="2"/>
      <c r="L199" s="2"/>
      <c r="M199" s="2"/>
      <c r="N199" s="2"/>
      <c r="O199" s="2"/>
      <c r="P199" s="2"/>
      <c r="Q199" s="2"/>
    </row>
  </sheetData>
  <mergeCells count="121"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  <mergeCell ref="L147:M147"/>
    <mergeCell ref="O147:P147"/>
    <mergeCell ref="K121:P121"/>
    <mergeCell ref="Q121:Q123"/>
    <mergeCell ref="F122:F123"/>
    <mergeCell ref="G122:G123"/>
    <mergeCell ref="H122:I122"/>
    <mergeCell ref="J122:J123"/>
    <mergeCell ref="K122:K123"/>
    <mergeCell ref="L122:L123"/>
    <mergeCell ref="M122:M123"/>
    <mergeCell ref="N122:O122"/>
    <mergeCell ref="P122:P123"/>
    <mergeCell ref="B121:B123"/>
    <mergeCell ref="C121:C123"/>
    <mergeCell ref="D121:D123"/>
    <mergeCell ref="E121:E123"/>
    <mergeCell ref="F121:J121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F47:J47"/>
    <mergeCell ref="K47:P47"/>
    <mergeCell ref="D70:D72"/>
    <mergeCell ref="E70:E72"/>
    <mergeCell ref="F70:J70"/>
    <mergeCell ref="K70:P70"/>
    <mergeCell ref="F48:F49"/>
    <mergeCell ref="G48:G49"/>
    <mergeCell ref="H48:I48"/>
    <mergeCell ref="J48:J49"/>
    <mergeCell ref="K48:K49"/>
    <mergeCell ref="L48:L49"/>
    <mergeCell ref="M48:M49"/>
    <mergeCell ref="N48:O48"/>
    <mergeCell ref="P48:P49"/>
    <mergeCell ref="Q117:Q119"/>
    <mergeCell ref="F118:F119"/>
    <mergeCell ref="G118:G119"/>
    <mergeCell ref="H118:I118"/>
    <mergeCell ref="J118:J119"/>
    <mergeCell ref="K118:K119"/>
    <mergeCell ref="L118:L119"/>
    <mergeCell ref="M118:M119"/>
    <mergeCell ref="N118:O118"/>
    <mergeCell ref="P118:P119"/>
    <mergeCell ref="F117:J117"/>
    <mergeCell ref="M9:M10"/>
    <mergeCell ref="B6:C6"/>
    <mergeCell ref="B7:C7"/>
    <mergeCell ref="B92:B94"/>
    <mergeCell ref="C92:C94"/>
    <mergeCell ref="D92:D94"/>
    <mergeCell ref="E92:E94"/>
    <mergeCell ref="F92:J92"/>
    <mergeCell ref="K117:P117"/>
    <mergeCell ref="B117:B119"/>
    <mergeCell ref="C117:C119"/>
    <mergeCell ref="D117:D119"/>
    <mergeCell ref="E117:E119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K9:K10"/>
    <mergeCell ref="L9:L10"/>
  </mergeCells>
  <pageMargins left="0.7" right="0.7" top="0.75" bottom="0.75" header="0.3" footer="0.3"/>
  <pageSetup paperSize="9" scale="65" orientation="landscape" r:id="rId1"/>
  <rowBreaks count="5" manualBreakCount="5">
    <brk id="26" min="1" max="18" man="1"/>
    <brk id="46" min="1" max="18" man="1"/>
    <brk id="69" min="1" max="18" man="1"/>
    <brk id="91" min="1" max="18" man="1"/>
    <brk id="120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2021-09-01T19:22:30Z</dcterms:modified>
</cp:coreProperties>
</file>