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690" yWindow="1410" windowWidth="15630" windowHeight="12810" tabRatio="500"/>
  </bookViews>
  <sheets>
    <sheet name="додаток 3" sheetId="3" r:id="rId1"/>
    <sheet name="дод.1 для контролю " sheetId="1" r:id="rId2"/>
    <sheet name="Лист2" sheetId="8" r:id="rId3"/>
  </sheets>
  <definedNames>
    <definedName name="_xlnm.Print_Area" localSheetId="1">'дод.1 для контролю '!$A$1:$H$4</definedName>
    <definedName name="_xlnm.Print_Area" localSheetId="0">'додаток 3'!$A$1:$P$107</definedName>
  </definedNames>
  <calcPr calcId="145621"/>
</workbook>
</file>

<file path=xl/calcChain.xml><?xml version="1.0" encoding="utf-8"?>
<calcChain xmlns="http://schemas.openxmlformats.org/spreadsheetml/2006/main">
  <c r="F77" i="3" l="1"/>
  <c r="G99" i="3"/>
  <c r="F99" i="3"/>
  <c r="F87" i="3" l="1"/>
  <c r="G87" i="3"/>
  <c r="H87" i="3"/>
  <c r="I87" i="3"/>
  <c r="J87" i="3"/>
  <c r="K87" i="3"/>
  <c r="L87" i="3"/>
  <c r="M87" i="3"/>
  <c r="N87" i="3"/>
  <c r="O87" i="3"/>
  <c r="P87" i="3"/>
  <c r="E87" i="3"/>
  <c r="H20" i="3"/>
  <c r="F15" i="3" l="1"/>
  <c r="F57" i="3"/>
  <c r="F60" i="3" l="1"/>
  <c r="F18" i="3"/>
  <c r="J92" i="3"/>
  <c r="J65" i="3"/>
  <c r="J46" i="3"/>
  <c r="J28" i="3"/>
  <c r="F40" i="3" l="1"/>
  <c r="F76" i="3"/>
  <c r="F103" i="3"/>
  <c r="F49" i="3"/>
  <c r="K84" i="3"/>
  <c r="K18" i="3"/>
  <c r="K20" i="3"/>
  <c r="K15" i="3"/>
  <c r="H60" i="3"/>
  <c r="G60" i="3"/>
  <c r="G43" i="3" s="1"/>
  <c r="H77" i="3"/>
  <c r="F16" i="3"/>
  <c r="H69" i="3"/>
  <c r="G69" i="3"/>
  <c r="F69" i="3"/>
  <c r="H70" i="3"/>
  <c r="G70" i="3"/>
  <c r="F70" i="3"/>
  <c r="H43" i="3"/>
  <c r="I43" i="3"/>
  <c r="K43" i="3"/>
  <c r="L43" i="3"/>
  <c r="M43" i="3"/>
  <c r="N43" i="3"/>
  <c r="O43" i="3"/>
  <c r="G20" i="3"/>
  <c r="F20" i="3"/>
  <c r="G18" i="3"/>
  <c r="F104" i="3" l="1"/>
  <c r="G33" i="3"/>
  <c r="F33" i="3"/>
  <c r="K83" i="3"/>
  <c r="K103" i="3"/>
  <c r="K80" i="3" l="1"/>
  <c r="F88" i="3" l="1"/>
  <c r="K70" i="3"/>
  <c r="K82" i="3" l="1"/>
  <c r="F79" i="3"/>
  <c r="K104" i="3" l="1"/>
  <c r="F83" i="3"/>
  <c r="G32" i="3"/>
  <c r="F32" i="3"/>
  <c r="F59" i="3"/>
  <c r="F63" i="3"/>
  <c r="K81" i="3" l="1"/>
  <c r="O15" i="3"/>
  <c r="O90" i="3" l="1"/>
  <c r="J90" i="3"/>
  <c r="E90" i="3" l="1"/>
  <c r="P90" i="3" s="1"/>
  <c r="F54" i="3" l="1"/>
  <c r="G77" i="3" l="1"/>
  <c r="G15" i="3" l="1"/>
  <c r="O80" i="3" l="1"/>
  <c r="J80" i="3"/>
  <c r="P80" i="3" s="1"/>
  <c r="H18" i="3" l="1"/>
  <c r="F62" i="3" l="1"/>
  <c r="F61" i="3" l="1"/>
  <c r="E56" i="3"/>
  <c r="P56" i="3" s="1"/>
  <c r="E61" i="3" l="1"/>
  <c r="E62" i="3"/>
  <c r="G36" i="3"/>
  <c r="E37" i="3"/>
  <c r="P37" i="3" s="1"/>
  <c r="F36" i="3" l="1"/>
  <c r="E36" i="3"/>
  <c r="P36" i="3" s="1"/>
  <c r="J83" i="3" l="1"/>
  <c r="O70" i="3"/>
  <c r="O83" i="3" l="1"/>
  <c r="L86" i="3" l="1"/>
  <c r="E63" i="3" l="1"/>
  <c r="P63" i="3" s="1"/>
  <c r="O18" i="3" l="1"/>
  <c r="O20" i="3"/>
  <c r="O84" i="3" l="1"/>
  <c r="J84" i="3"/>
  <c r="P84" i="3" s="1"/>
  <c r="F39" i="3"/>
  <c r="F71" i="3"/>
  <c r="J81" i="3"/>
  <c r="P81" i="3" s="1"/>
  <c r="O81" i="3"/>
  <c r="O103" i="3" l="1"/>
  <c r="Q87" i="3" l="1"/>
  <c r="R87" i="3"/>
  <c r="J95" i="3"/>
  <c r="E35" i="3"/>
  <c r="G34" i="3"/>
  <c r="F34" i="3"/>
  <c r="E34" i="3" s="1"/>
  <c r="P95" i="3" l="1"/>
  <c r="H15" i="3"/>
  <c r="J103" i="3" l="1"/>
  <c r="F102" i="3" l="1"/>
  <c r="G102" i="3"/>
  <c r="H102" i="3"/>
  <c r="I102" i="3"/>
  <c r="K102" i="3"/>
  <c r="L102" i="3"/>
  <c r="M102" i="3"/>
  <c r="N102" i="3"/>
  <c r="Q102" i="3"/>
  <c r="R102" i="3"/>
  <c r="G78" i="3"/>
  <c r="H78" i="3"/>
  <c r="I78" i="3"/>
  <c r="L78" i="3"/>
  <c r="M78" i="3"/>
  <c r="N78" i="3"/>
  <c r="O104" i="3"/>
  <c r="O102" i="3" s="1"/>
  <c r="E104" i="3"/>
  <c r="E101" i="3"/>
  <c r="F108" i="3" s="1"/>
  <c r="H89" i="3"/>
  <c r="F89" i="3"/>
  <c r="F78" i="3"/>
  <c r="E85" i="3"/>
  <c r="P85" i="3" s="1"/>
  <c r="F72" i="3"/>
  <c r="G72" i="3"/>
  <c r="H72" i="3"/>
  <c r="I72" i="3"/>
  <c r="J72" i="3"/>
  <c r="K72" i="3"/>
  <c r="L72" i="3"/>
  <c r="M72" i="3"/>
  <c r="N72" i="3"/>
  <c r="O72" i="3"/>
  <c r="E73" i="3"/>
  <c r="P73" i="3" s="1"/>
  <c r="F42" i="3"/>
  <c r="H19" i="3"/>
  <c r="G19" i="3"/>
  <c r="I19" i="3"/>
  <c r="K19" i="3"/>
  <c r="L19" i="3"/>
  <c r="M19" i="3"/>
  <c r="N19" i="3"/>
  <c r="F21" i="3"/>
  <c r="E21" i="3" s="1"/>
  <c r="P21" i="3" s="1"/>
  <c r="O19" i="3" l="1"/>
  <c r="K78" i="3"/>
  <c r="O82" i="3"/>
  <c r="F19" i="3"/>
  <c r="J104" i="3"/>
  <c r="J102" i="3" s="1"/>
  <c r="J70" i="3"/>
  <c r="J68" i="3" s="1"/>
  <c r="E70" i="3"/>
  <c r="F68" i="3"/>
  <c r="G68" i="3"/>
  <c r="I68" i="3"/>
  <c r="K68" i="3"/>
  <c r="L68" i="3"/>
  <c r="M68" i="3"/>
  <c r="N68" i="3"/>
  <c r="O68" i="3"/>
  <c r="E41" i="3"/>
  <c r="D32" i="3"/>
  <c r="E23" i="3"/>
  <c r="P23" i="3" s="1"/>
  <c r="L18" i="3"/>
  <c r="E18" i="3"/>
  <c r="J18" i="3" l="1"/>
  <c r="P104" i="3"/>
  <c r="P70" i="3"/>
  <c r="E88" i="3"/>
  <c r="O78" i="3" l="1"/>
  <c r="J82" i="3"/>
  <c r="P82" i="3" l="1"/>
  <c r="P101" i="3"/>
  <c r="O100" i="3"/>
  <c r="N100" i="3"/>
  <c r="M100" i="3"/>
  <c r="L100" i="3"/>
  <c r="K100" i="3"/>
  <c r="J100" i="3"/>
  <c r="I100" i="3"/>
  <c r="H100" i="3"/>
  <c r="G100" i="3"/>
  <c r="F100" i="3"/>
  <c r="E100" i="3"/>
  <c r="H68" i="3"/>
  <c r="F53" i="3"/>
  <c r="E54" i="3"/>
  <c r="P54" i="3" s="1"/>
  <c r="E16" i="3"/>
  <c r="P16" i="3" s="1"/>
  <c r="F14" i="3"/>
  <c r="G14" i="3"/>
  <c r="I14" i="3"/>
  <c r="K14" i="3"/>
  <c r="L14" i="3"/>
  <c r="M14" i="3"/>
  <c r="N14" i="3"/>
  <c r="O14" i="3"/>
  <c r="P88" i="3"/>
  <c r="P100" i="3" l="1"/>
  <c r="E103" i="3" l="1"/>
  <c r="E102" i="3" s="1"/>
  <c r="J99" i="3"/>
  <c r="H99" i="3"/>
  <c r="H98" i="3" s="1"/>
  <c r="H97" i="3" s="1"/>
  <c r="H96" i="3" s="1"/>
  <c r="E99" i="3"/>
  <c r="E98" i="3" s="1"/>
  <c r="O98" i="3"/>
  <c r="N98" i="3"/>
  <c r="M98" i="3"/>
  <c r="L98" i="3"/>
  <c r="K98" i="3"/>
  <c r="J98" i="3"/>
  <c r="I98" i="3"/>
  <c r="G98" i="3"/>
  <c r="G97" i="3" s="1"/>
  <c r="G96" i="3" s="1"/>
  <c r="F98" i="3"/>
  <c r="R96" i="3"/>
  <c r="Q96" i="3"/>
  <c r="E89" i="3"/>
  <c r="J86" i="3"/>
  <c r="J78" i="3" s="1"/>
  <c r="E86" i="3"/>
  <c r="E83" i="3"/>
  <c r="P83" i="3" s="1"/>
  <c r="E79" i="3"/>
  <c r="O77" i="3"/>
  <c r="O75" i="3" s="1"/>
  <c r="J77" i="3"/>
  <c r="J75" i="3" s="1"/>
  <c r="E77" i="3"/>
  <c r="E76" i="3"/>
  <c r="P76" i="3" s="1"/>
  <c r="N75" i="3"/>
  <c r="M75" i="3"/>
  <c r="L75" i="3"/>
  <c r="K75" i="3"/>
  <c r="I75" i="3"/>
  <c r="H75" i="3"/>
  <c r="G75" i="3"/>
  <c r="F75" i="3"/>
  <c r="E74" i="3"/>
  <c r="E72" i="3" s="1"/>
  <c r="E71" i="3"/>
  <c r="P71" i="3" s="1"/>
  <c r="E69" i="3"/>
  <c r="J60" i="3"/>
  <c r="J43" i="3" s="1"/>
  <c r="E60" i="3"/>
  <c r="E59" i="3"/>
  <c r="P59" i="3" s="1"/>
  <c r="F58" i="3"/>
  <c r="F43" i="3" s="1"/>
  <c r="E57" i="3"/>
  <c r="P57" i="3" s="1"/>
  <c r="E55" i="3"/>
  <c r="P55" i="3" s="1"/>
  <c r="E53" i="3"/>
  <c r="P53" i="3" s="1"/>
  <c r="E52" i="3"/>
  <c r="P52" i="3" s="1"/>
  <c r="D52" i="3"/>
  <c r="F51" i="3"/>
  <c r="E51" i="3" s="1"/>
  <c r="P51" i="3" s="1"/>
  <c r="E50" i="3"/>
  <c r="P50" i="3" s="1"/>
  <c r="E49" i="3"/>
  <c r="E44" i="3"/>
  <c r="P44" i="3" s="1"/>
  <c r="Q43" i="3"/>
  <c r="R43" i="3"/>
  <c r="E42" i="3"/>
  <c r="P42" i="3" s="1"/>
  <c r="P41" i="3"/>
  <c r="D41" i="3"/>
  <c r="E40" i="3"/>
  <c r="P40" i="3" s="1"/>
  <c r="O39" i="3"/>
  <c r="O38" i="3" s="1"/>
  <c r="N39" i="3"/>
  <c r="N38" i="3" s="1"/>
  <c r="M39" i="3"/>
  <c r="M38" i="3" s="1"/>
  <c r="L39" i="3"/>
  <c r="L38" i="3" s="1"/>
  <c r="K39" i="3"/>
  <c r="K38" i="3" s="1"/>
  <c r="J39" i="3"/>
  <c r="J38" i="3" s="1"/>
  <c r="I39" i="3"/>
  <c r="I38" i="3" s="1"/>
  <c r="H39" i="3"/>
  <c r="H38" i="3" s="1"/>
  <c r="G39" i="3"/>
  <c r="G38" i="3" s="1"/>
  <c r="F38" i="3"/>
  <c r="E33" i="3"/>
  <c r="H32" i="3"/>
  <c r="H31" i="3" s="1"/>
  <c r="E32" i="3"/>
  <c r="G31" i="3"/>
  <c r="G17" i="3" s="1"/>
  <c r="F31" i="3"/>
  <c r="F17" i="3" s="1"/>
  <c r="E22" i="3"/>
  <c r="P22" i="3" s="1"/>
  <c r="J20" i="3"/>
  <c r="J19" i="3" s="1"/>
  <c r="E20" i="3"/>
  <c r="J15" i="3"/>
  <c r="J14" i="3" s="1"/>
  <c r="H14" i="3"/>
  <c r="E15" i="3"/>
  <c r="E14" i="3" s="1"/>
  <c r="R14" i="3"/>
  <c r="Q14" i="3"/>
  <c r="J9" i="3"/>
  <c r="F13" i="3" l="1"/>
  <c r="G13" i="3"/>
  <c r="E78" i="3"/>
  <c r="E19" i="3"/>
  <c r="E31" i="3"/>
  <c r="P74" i="3"/>
  <c r="P72" i="3" s="1"/>
  <c r="P69" i="3"/>
  <c r="P68" i="3" s="1"/>
  <c r="E68" i="3"/>
  <c r="P49" i="3"/>
  <c r="H35" i="3"/>
  <c r="H34" i="3" s="1"/>
  <c r="H17" i="3" s="1"/>
  <c r="H13" i="3" s="1"/>
  <c r="E39" i="3"/>
  <c r="E38" i="3" s="1"/>
  <c r="J35" i="3"/>
  <c r="P35" i="3" s="1"/>
  <c r="P89" i="3"/>
  <c r="Q13" i="3"/>
  <c r="I97" i="3"/>
  <c r="I96" i="3" s="1"/>
  <c r="M97" i="3"/>
  <c r="M96" i="3" s="1"/>
  <c r="P60" i="3"/>
  <c r="J97" i="3"/>
  <c r="J96" i="3" s="1"/>
  <c r="N97" i="3"/>
  <c r="N96" i="3" s="1"/>
  <c r="P77" i="3"/>
  <c r="P75" i="3" s="1"/>
  <c r="L97" i="3"/>
  <c r="L96" i="3" s="1"/>
  <c r="K97" i="3"/>
  <c r="K96" i="3" s="1"/>
  <c r="O97" i="3"/>
  <c r="O96" i="3" s="1"/>
  <c r="P98" i="3"/>
  <c r="E97" i="3"/>
  <c r="E96" i="3" s="1"/>
  <c r="L35" i="3"/>
  <c r="L34" i="3" s="1"/>
  <c r="L17" i="3" s="1"/>
  <c r="L13" i="3" s="1"/>
  <c r="I35" i="3"/>
  <c r="I34" i="3" s="1"/>
  <c r="I17" i="3" s="1"/>
  <c r="I13" i="3" s="1"/>
  <c r="R105" i="3"/>
  <c r="R13" i="3"/>
  <c r="P99" i="3"/>
  <c r="K35" i="3"/>
  <c r="K34" i="3" s="1"/>
  <c r="K17" i="3" s="1"/>
  <c r="K13" i="3" s="1"/>
  <c r="P86" i="3"/>
  <c r="F97" i="3"/>
  <c r="F96" i="3" s="1"/>
  <c r="M35" i="3"/>
  <c r="M34" i="3" s="1"/>
  <c r="M17" i="3" s="1"/>
  <c r="M13" i="3" s="1"/>
  <c r="N35" i="3"/>
  <c r="N34" i="3" s="1"/>
  <c r="N17" i="3" s="1"/>
  <c r="N13" i="3" s="1"/>
  <c r="O35" i="3"/>
  <c r="O34" i="3" s="1"/>
  <c r="O17" i="3" s="1"/>
  <c r="O13" i="3" s="1"/>
  <c r="P103" i="3"/>
  <c r="P102" i="3" s="1"/>
  <c r="E75" i="3"/>
  <c r="E58" i="3"/>
  <c r="P58" i="3" s="1"/>
  <c r="P20" i="3"/>
  <c r="P19" i="3" s="1"/>
  <c r="P18" i="3"/>
  <c r="Q105" i="3"/>
  <c r="P15" i="3"/>
  <c r="P14" i="3" s="1"/>
  <c r="D59" i="3"/>
  <c r="D55" i="3"/>
  <c r="D63" i="3" s="1"/>
  <c r="P61" i="3"/>
  <c r="P43" i="3" l="1"/>
  <c r="E43" i="3"/>
  <c r="E17" i="3"/>
  <c r="P39" i="3"/>
  <c r="P38" i="3" s="1"/>
  <c r="J34" i="3"/>
  <c r="J17" i="3" s="1"/>
  <c r="J13" i="3" s="1"/>
  <c r="M12" i="3"/>
  <c r="M105" i="3" s="1"/>
  <c r="G12" i="3"/>
  <c r="G105" i="3" s="1"/>
  <c r="H12" i="3"/>
  <c r="H105" i="3" s="1"/>
  <c r="N12" i="3"/>
  <c r="N105" i="3" s="1"/>
  <c r="K12" i="3"/>
  <c r="K105" i="3" s="1"/>
  <c r="F12" i="3"/>
  <c r="F105" i="3" s="1"/>
  <c r="O12" i="3"/>
  <c r="O105" i="3" s="1"/>
  <c r="I12" i="3"/>
  <c r="I105" i="3" s="1"/>
  <c r="L12" i="3"/>
  <c r="L105" i="3" s="1"/>
  <c r="P97" i="3"/>
  <c r="P96" i="3" s="1"/>
  <c r="P79" i="3"/>
  <c r="P78" i="3" s="1"/>
  <c r="P34" i="3" l="1"/>
  <c r="E13" i="3"/>
  <c r="E12" i="3" s="1"/>
  <c r="E105" i="3" s="1"/>
  <c r="P32" i="3"/>
  <c r="P33" i="3"/>
  <c r="P31" i="3"/>
  <c r="P17" i="3" s="1"/>
  <c r="P13" i="3" s="1"/>
  <c r="F112" i="3" l="1"/>
  <c r="F109" i="3"/>
  <c r="D111" i="3"/>
  <c r="J12" i="3" l="1"/>
  <c r="J105" i="3" s="1"/>
  <c r="F113" i="3" s="1"/>
  <c r="P12" i="3" l="1"/>
  <c r="P105" i="3" l="1"/>
  <c r="F114" i="3"/>
</calcChain>
</file>

<file path=xl/sharedStrings.xml><?xml version="1.0" encoding="utf-8"?>
<sst xmlns="http://schemas.openxmlformats.org/spreadsheetml/2006/main" count="301" uniqueCount="188">
  <si>
    <t>(код бюджету)</t>
  </si>
  <si>
    <t>(грн.)</t>
  </si>
  <si>
    <t>Спеціальний фонд</t>
  </si>
  <si>
    <t>усього</t>
  </si>
  <si>
    <t>Х</t>
  </si>
  <si>
    <t>Разом доходів</t>
  </si>
  <si>
    <t xml:space="preserve">Секретар сільської ради </t>
  </si>
  <si>
    <t>Тетяна ДІБРОВА</t>
  </si>
  <si>
    <t>23501000000</t>
  </si>
  <si>
    <t>Загальний фонд</t>
  </si>
  <si>
    <t xml:space="preserve">Додаток №3 </t>
  </si>
  <si>
    <t>Розподіл видатків бюджету Білозірської сільської  територіальної громади на 2023 рік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</si>
  <si>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</si>
  <si>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</si>
  <si>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</si>
  <si>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</si>
  <si>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</si>
  <si>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</si>
  <si>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</si>
  <si>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</si>
  <si>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</si>
  <si>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</si>
  <si>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</si>
  <si>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</si>
  <si>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</si>
  <si>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</si>
  <si>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</si>
  <si>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</si>
  <si>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</si>
  <si>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</si>
  <si>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</si>
  <si>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</si>
  <si>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</si>
  <si>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</si>
  <si>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</si>
  <si>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</si>
  <si>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</si>
  <si>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</si>
  <si>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</si>
  <si>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</si>
  <si>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</si>
  <si>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</si>
  <si>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</si>
  <si>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</si>
  <si>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</si>
  <si>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</si>
  <si>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</si>
  <si>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</si>
  <si>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</si>
  <si>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</si>
  <si>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</si>
  <si>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</si>
  <si>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</si>
  <si>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</si>
  <si>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</si>
  <si>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</si>
  <si>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</si>
  <si>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</si>
  <si>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</si>
  <si>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</si>
  <si>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</si>
  <si>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</si>
  <si>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</si>
  <si>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</si>
  <si>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</si>
  <si>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</si>
  <si>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</si>
  <si>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</si>
  <si>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</si>
  <si>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</si>
  <si>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</si>
  <si>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</si>
  <si>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</si>
  <si>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</si>
  <si>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</si>
  <si>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</si>
  <si>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</si>
  <si>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</si>
  <si>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</si>
  <si>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</si>
  <si>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</si>
  <si>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</si>
  <si>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</si>
  <si>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</si>
  <si>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</si>
  <si>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</si>
  <si>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</si>
  <si>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</si>
  <si>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</si>
  <si>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</si>
  <si>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</si>
  <si>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</si>
  <si>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</si>
  <si>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</si>
  <si>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</si>
  <si>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</si>
  <si>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</si>
  <si>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</si>
  <si>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</si>
  <si>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</si>
  <si>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</si>
  <si>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</si>
  <si>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</si>
  <si>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</si>
  <si>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</si>
  <si>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</si>
  <si>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</si>
  <si>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</si>
  <si>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</si>
  <si>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</si>
  <si>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</si>
  <si>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</si>
  <si>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</si>
  <si>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</si>
  <si>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</si>
  <si>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</si>
  <si>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</si>
  <si>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</si>
  <si>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</si>
  <si>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</si>
  <si>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</si>
  <si>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</si>
  <si>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</si>
  <si>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</si>
  <si>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</si>
  <si>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</si>
  <si>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</si>
  <si>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</si>
  <si>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0218710</t>
  </si>
  <si>
    <t>0133</t>
  </si>
  <si>
    <t>Резервний фонд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</si>
  <si>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</si>
  <si>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</si>
  <si>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</si>
  <si>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</si>
  <si>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</si>
  <si>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</si>
  <si>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Всього</t>
  </si>
  <si>
    <t>роезервний фонд</t>
  </si>
  <si>
    <t>0210180</t>
  </si>
  <si>
    <t>Інша діяльність у сфері державного управління</t>
  </si>
  <si>
    <t>Членські внески до асоціацій органів місцевого самоврядування</t>
  </si>
  <si>
    <t>МІЖБЮДЖЕТНІ ТРАНСФЕРТИ</t>
  </si>
  <si>
    <t>Субвенція з місцевого бюджету державному бюджету на виконання програм соціально-економічного розвитку регіонів</t>
  </si>
  <si>
    <t>дефіцит ЗФ</t>
  </si>
  <si>
    <t>дефіцит СФ</t>
  </si>
  <si>
    <t>0218130</t>
  </si>
  <si>
    <t>8130</t>
  </si>
  <si>
    <t xml:space="preserve">Оборот.залишок 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</si>
  <si>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</si>
  <si>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</si>
  <si>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</si>
  <si>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</si>
  <si>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0320</t>
  </si>
  <si>
    <t>Забезпечення діяльності місцевої та добровільної пожежної охорони</t>
  </si>
  <si>
    <t>7000</t>
  </si>
  <si>
    <t>ЕКОНОМІЧНА ДІЯЛЬНІСТЬ</t>
  </si>
  <si>
    <t>ІНША ДІЯЛЬНІСТЬ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</si>
  <si>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</si>
  <si>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</si>
  <si>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в т.ч.  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</si>
  <si>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7680</t>
  </si>
  <si>
    <t>3719800</t>
  </si>
  <si>
    <t>0215061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</si>
  <si>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</si>
  <si>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0217680</t>
  </si>
  <si>
    <t>8000</t>
  </si>
  <si>
    <t>Внески до статутного капіталу суб’єктів господарювання</t>
  </si>
  <si>
    <t>7670</t>
  </si>
  <si>
    <t>0217670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</si>
  <si>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</si>
  <si>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</si>
  <si>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</si>
  <si>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/>
  </si>
  <si>
    <t>в т.ч за рахунок:Надання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</si>
  <si>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</si>
  <si>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до  рішення Білозірської сільської  ради  "Про бюджет Білозірської сільської  територіальної громади на 2023 рік (2350100000)"від  від 22.12.2022 № 45-45/VIII</t>
  </si>
  <si>
    <t>0217330</t>
  </si>
  <si>
    <t>7330</t>
  </si>
  <si>
    <t>Будівництво інших об'єктів комунальної власності</t>
  </si>
  <si>
    <t>0217321</t>
  </si>
  <si>
    <t>7321</t>
  </si>
  <si>
    <t>Будівництво освітніх установ та закладів</t>
  </si>
  <si>
    <t>0218240</t>
  </si>
  <si>
    <t>8240</t>
  </si>
  <si>
    <t>Заходи та роботи з територіальної оборони</t>
  </si>
  <si>
    <t>(в редакції рішення сесії  від 31.10.2023 р.№ 61-3/VIII)</t>
  </si>
  <si>
    <t>Код Програмної класифікації видатків та кредитування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</si>
</sst>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3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1"/>
    </font>
    <font>
      <b/>
      <sz val="9"/>
      <name val="Times New Roman"/>
      <family val="1"/>
      <charset val="204"/>
    </font>
    <font>
      <sz val="9"/>
      <name val="SansSerif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7"/>
      <name val="Arial"/>
      <family val="2"/>
      <charset val="204"/>
    </font>
    <font>
      <sz val="6"/>
      <name val="Times New Roman"/>
      <family val="1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CC1DA"/>
        <bgColor rgb="FFB9CDE5"/>
      </patternFill>
    </fill>
    <fill>
      <patternFill patternType="solid">
        <fgColor rgb="FFB9CDE5"/>
        <bgColor rgb="FFCCC1DA"/>
      </patternFill>
    </fill>
    <fill>
      <patternFill patternType="solid">
        <fgColor rgb="FFDCE6F2"/>
        <bgColor rgb="FFBCE4E5"/>
      </patternFill>
    </fill>
    <fill>
      <patternFill patternType="solid">
        <fgColor theme="0"/>
        <bgColor rgb="FFBCE4E5"/>
      </patternFill>
    </fill>
    <fill>
      <patternFill patternType="solid">
        <fgColor theme="4" tint="0.59999389629810485"/>
        <bgColor rgb="FFBCE4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E4E5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CCC1DA"/>
      </patternFill>
    </fill>
    <fill>
      <patternFill patternType="solid">
        <fgColor theme="4" tint="0.59999389629810485"/>
        <bgColor rgb="FFF2F2F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3">
    <xf numFmtId="0" fontId="0" fillId="0" borderId="0" xfId="0"/>
    <xf numFmtId="0" fontId="1" fillId="0" borderId="0" xfId="0" applyFont="1"/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5" fillId="5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left" vertical="top" wrapText="1"/>
    </xf>
    <xf numFmtId="4" fontId="6" fillId="0" borderId="1" xfId="0" applyNumberFormat="1" applyFont="1" applyBorder="1" applyAlignment="1" applyProtection="1">
      <alignment horizontal="right" vertical="top" wrapText="1"/>
    </xf>
    <xf numFmtId="4" fontId="6" fillId="5" borderId="1" xfId="0" applyNumberFormat="1" applyFont="1" applyFill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left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" fontId="6" fillId="0" borderId="4" xfId="0" applyNumberFormat="1" applyFont="1" applyBorder="1" applyAlignment="1" applyProtection="1">
      <alignment horizontal="right" vertical="top" wrapText="1"/>
    </xf>
    <xf numFmtId="0" fontId="5" fillId="0" borderId="0" xfId="0" applyFont="1"/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5" borderId="1" xfId="0" applyNumberFormat="1" applyFont="1" applyFill="1" applyBorder="1" applyAlignment="1" applyProtection="1">
      <alignment horizontal="right" vertical="top" wrapText="1"/>
    </xf>
    <xf numFmtId="4" fontId="5" fillId="5" borderId="3" xfId="0" applyNumberFormat="1" applyFont="1" applyFill="1" applyBorder="1" applyAlignment="1" applyProtection="1">
      <alignment horizontal="right" vertical="top" wrapText="1"/>
    </xf>
    <xf numFmtId="4" fontId="5" fillId="2" borderId="1" xfId="0" applyNumberFormat="1" applyFont="1" applyFill="1" applyBorder="1" applyAlignment="1" applyProtection="1">
      <alignment horizontal="right" vertical="top" wrapText="1"/>
    </xf>
    <xf numFmtId="0" fontId="8" fillId="0" borderId="0" xfId="0" applyFont="1"/>
    <xf numFmtId="0" fontId="10" fillId="0" borderId="0" xfId="0" applyFont="1" applyBorder="1" applyAlignment="1" applyProtection="1">
      <alignment horizontal="left" vertical="top" wrapText="1"/>
    </xf>
    <xf numFmtId="0" fontId="12" fillId="0" borderId="0" xfId="0" applyFont="1"/>
    <xf numFmtId="0" fontId="11" fillId="0" borderId="1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top" wrapText="1"/>
    </xf>
    <xf numFmtId="4" fontId="5" fillId="0" borderId="4" xfId="0" applyNumberFormat="1" applyFont="1" applyBorder="1" applyAlignment="1" applyProtection="1">
      <alignment horizontal="right" vertical="top" wrapText="1"/>
    </xf>
    <xf numFmtId="4" fontId="6" fillId="5" borderId="3" xfId="0" applyNumberFormat="1" applyFont="1" applyFill="1" applyBorder="1" applyAlignment="1" applyProtection="1">
      <alignment horizontal="righ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5" fillId="0" borderId="1" xfId="0" applyNumberFormat="1" applyFont="1" applyBorder="1" applyAlignment="1" applyProtection="1">
      <alignment horizontal="left" vertical="top" wrapText="1"/>
    </xf>
    <xf numFmtId="4" fontId="5" fillId="8" borderId="5" xfId="0" applyNumberFormat="1" applyFont="1" applyFill="1" applyBorder="1" applyAlignment="1" applyProtection="1">
      <alignment horizontal="right" vertical="top" wrapText="1"/>
    </xf>
    <xf numFmtId="4" fontId="5" fillId="7" borderId="1" xfId="0" applyNumberFormat="1" applyFont="1" applyFill="1" applyBorder="1" applyAlignment="1" applyProtection="1">
      <alignment horizontal="right" vertical="top" wrapText="1"/>
    </xf>
    <xf numFmtId="4" fontId="5" fillId="7" borderId="5" xfId="0" applyNumberFormat="1" applyFont="1" applyFill="1" applyBorder="1" applyAlignment="1" applyProtection="1">
      <alignment horizontal="right" vertical="top" wrapText="1"/>
    </xf>
    <xf numFmtId="4" fontId="14" fillId="0" borderId="10" xfId="0" applyNumberFormat="1" applyFont="1" applyBorder="1" applyAlignment="1" applyProtection="1">
      <alignment horizontal="right" vertical="center" wrapText="1"/>
    </xf>
    <xf numFmtId="0" fontId="8" fillId="2" borderId="0" xfId="0" applyFont="1" applyFill="1"/>
    <xf numFmtId="0" fontId="15" fillId="2" borderId="0" xfId="0" applyFont="1" applyFill="1" applyBorder="1" applyAlignment="1" applyProtection="1">
      <alignment horizontal="right" vertical="top" wrapText="1"/>
    </xf>
    <xf numFmtId="0" fontId="15" fillId="2" borderId="0" xfId="0" applyFont="1" applyFill="1" applyAlignment="1">
      <alignment horizontal="right"/>
    </xf>
    <xf numFmtId="0" fontId="16" fillId="2" borderId="0" xfId="0" applyFont="1" applyFill="1" applyBorder="1" applyAlignment="1" applyProtection="1">
      <alignment horizontal="center" vertical="top" wrapText="1"/>
    </xf>
    <xf numFmtId="0" fontId="19" fillId="2" borderId="0" xfId="0" applyFont="1" applyFill="1" applyBorder="1" applyAlignment="1" applyProtection="1">
      <alignment horizontal="center" vertical="top" wrapText="1"/>
    </xf>
    <xf numFmtId="0" fontId="20" fillId="2" borderId="0" xfId="0" applyFont="1" applyFill="1" applyBorder="1" applyAlignment="1" applyProtection="1">
      <alignment horizont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top" wrapText="1"/>
    </xf>
    <xf numFmtId="0" fontId="7" fillId="4" borderId="1" xfId="0" applyFont="1" applyFill="1" applyBorder="1" applyAlignment="1" applyProtection="1">
      <alignment horizontal="center" vertical="top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top" wrapText="1"/>
    </xf>
    <xf numFmtId="4" fontId="7" fillId="4" borderId="1" xfId="0" applyNumberFormat="1" applyFont="1" applyFill="1" applyBorder="1" applyAlignment="1" applyProtection="1">
      <alignment horizontal="righ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/>
    <xf numFmtId="4" fontId="5" fillId="0" borderId="0" xfId="0" applyNumberFormat="1" applyFont="1"/>
    <xf numFmtId="49" fontId="7" fillId="0" borderId="1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4" fontId="7" fillId="0" borderId="1" xfId="0" applyNumberFormat="1" applyFont="1" applyBorder="1" applyAlignment="1" applyProtection="1">
      <alignment horizontal="right" vertical="top" wrapText="1"/>
    </xf>
    <xf numFmtId="49" fontId="5" fillId="0" borderId="1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vertical="center" wrapText="1"/>
    </xf>
    <xf numFmtId="4" fontId="5" fillId="8" borderId="1" xfId="0" applyNumberFormat="1" applyFont="1" applyFill="1" applyBorder="1" applyAlignment="1" applyProtection="1">
      <alignment horizontal="right" vertical="center" wrapText="1"/>
    </xf>
    <xf numFmtId="4" fontId="5" fillId="7" borderId="1" xfId="0" applyNumberFormat="1" applyFont="1" applyFill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" fontId="6" fillId="13" borderId="1" xfId="0" applyNumberFormat="1" applyFont="1" applyFill="1" applyBorder="1" applyAlignment="1" applyProtection="1">
      <alignment horizontal="right" vertical="top" wrapText="1"/>
    </xf>
    <xf numFmtId="4" fontId="6" fillId="9" borderId="1" xfId="0" applyNumberFormat="1" applyFont="1" applyFill="1" applyBorder="1" applyAlignment="1" applyProtection="1">
      <alignment horizontal="right" vertical="top" wrapText="1"/>
    </xf>
    <xf numFmtId="4" fontId="6" fillId="0" borderId="6" xfId="0" applyNumberFormat="1" applyFont="1" applyBorder="1" applyAlignment="1" applyProtection="1">
      <alignment horizontal="right" vertical="top" wrapText="1"/>
    </xf>
    <xf numFmtId="4" fontId="6" fillId="0" borderId="7" xfId="0" applyNumberFormat="1" applyFont="1" applyBorder="1" applyAlignment="1" applyProtection="1">
      <alignment horizontal="right" vertical="top" wrapText="1"/>
    </xf>
    <xf numFmtId="4" fontId="6" fillId="0" borderId="8" xfId="0" applyNumberFormat="1" applyFont="1" applyBorder="1" applyAlignment="1" applyProtection="1">
      <alignment horizontal="right" vertical="top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right" vertical="top" wrapText="1"/>
    </xf>
    <xf numFmtId="4" fontId="5" fillId="0" borderId="8" xfId="0" applyNumberFormat="1" applyFont="1" applyBorder="1" applyAlignment="1" applyProtection="1">
      <alignment horizontal="right" vertical="top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/>
    <xf numFmtId="4" fontId="5" fillId="0" borderId="7" xfId="0" applyNumberFormat="1" applyFont="1" applyBorder="1" applyAlignment="1" applyProtection="1">
      <alignment horizontal="right" vertical="top" wrapText="1"/>
    </xf>
    <xf numFmtId="4" fontId="5" fillId="0" borderId="6" xfId="0" applyNumberFormat="1" applyFont="1" applyBorder="1" applyAlignment="1" applyProtection="1">
      <alignment horizontal="right" vertical="top" wrapText="1"/>
    </xf>
    <xf numFmtId="4" fontId="5" fillId="0" borderId="5" xfId="0" applyNumberFormat="1" applyFont="1" applyBorder="1" applyAlignment="1" applyProtection="1">
      <alignment horizontal="righ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left" vertical="top" wrapText="1"/>
    </xf>
    <xf numFmtId="4" fontId="5" fillId="9" borderId="5" xfId="0" applyNumberFormat="1" applyFont="1" applyFill="1" applyBorder="1" applyAlignment="1" applyProtection="1">
      <alignment horizontal="right" vertical="top" wrapText="1"/>
    </xf>
    <xf numFmtId="0" fontId="9" fillId="0" borderId="1" xfId="0" applyFont="1" applyBorder="1" applyAlignment="1" applyProtection="1">
      <alignment horizontal="left" vertical="top" wrapText="1"/>
    </xf>
    <xf numFmtId="4" fontId="7" fillId="0" borderId="5" xfId="0" applyNumberFormat="1" applyFont="1" applyBorder="1" applyAlignment="1" applyProtection="1">
      <alignment horizontal="right" vertical="top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top" wrapText="1"/>
    </xf>
    <xf numFmtId="0" fontId="9" fillId="0" borderId="0" xfId="0" applyFont="1"/>
    <xf numFmtId="0" fontId="6" fillId="0" borderId="1" xfId="0" applyFont="1" applyBorder="1" applyAlignment="1" applyProtection="1">
      <alignment horizontal="left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" fontId="6" fillId="5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top" wrapText="1"/>
    </xf>
    <xf numFmtId="4" fontId="5" fillId="5" borderId="7" xfId="0" applyNumberFormat="1" applyFont="1" applyFill="1" applyBorder="1" applyAlignment="1" applyProtection="1">
      <alignment horizontal="right" vertical="top" wrapText="1"/>
    </xf>
    <xf numFmtId="4" fontId="5" fillId="0" borderId="9" xfId="0" applyNumberFormat="1" applyFont="1" applyBorder="1" applyAlignment="1" applyProtection="1">
      <alignment horizontal="right"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49" fontId="7" fillId="10" borderId="1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49" fontId="5" fillId="10" borderId="1" xfId="0" applyNumberFormat="1" applyFont="1" applyFill="1" applyBorder="1" applyAlignment="1" applyProtection="1">
      <alignment horizontal="center" vertical="center" wrapText="1"/>
    </xf>
    <xf numFmtId="0" fontId="5" fillId="10" borderId="1" xfId="0" applyFont="1" applyFill="1" applyBorder="1" applyAlignment="1" applyProtection="1">
      <alignment horizontal="left" vertical="top" wrapText="1"/>
    </xf>
    <xf numFmtId="4" fontId="5" fillId="14" borderId="1" xfId="0" applyNumberFormat="1" applyFont="1" applyFill="1" applyBorder="1" applyAlignment="1" applyProtection="1">
      <alignment horizontal="right" vertical="top" wrapText="1"/>
    </xf>
    <xf numFmtId="4" fontId="5" fillId="6" borderId="1" xfId="0" applyNumberFormat="1" applyFont="1" applyFill="1" applyBorder="1" applyAlignment="1" applyProtection="1">
      <alignment horizontal="right" vertical="top" wrapText="1"/>
    </xf>
    <xf numFmtId="49" fontId="5" fillId="10" borderId="1" xfId="0" applyNumberFormat="1" applyFont="1" applyFill="1" applyBorder="1" applyAlignment="1" applyProtection="1">
      <alignment horizontal="left" vertical="top" wrapText="1"/>
    </xf>
    <xf numFmtId="0" fontId="7" fillId="10" borderId="1" xfId="0" applyFont="1" applyFill="1" applyBorder="1" applyAlignment="1" applyProtection="1">
      <alignment horizontal="left" vertical="top" wrapText="1"/>
    </xf>
    <xf numFmtId="4" fontId="7" fillId="0" borderId="4" xfId="0" applyNumberFormat="1" applyFont="1" applyBorder="1" applyAlignment="1" applyProtection="1">
      <alignment horizontal="right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wrapText="1"/>
    </xf>
    <xf numFmtId="49" fontId="7" fillId="0" borderId="1" xfId="0" applyNumberFormat="1" applyFont="1" applyBorder="1" applyAlignment="1" applyProtection="1">
      <alignment horizont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" fontId="5" fillId="11" borderId="1" xfId="0" applyNumberFormat="1" applyFont="1" applyFill="1" applyBorder="1" applyAlignment="1" applyProtection="1">
      <alignment horizontal="right" vertical="center" wrapText="1"/>
    </xf>
    <xf numFmtId="4" fontId="5" fillId="2" borderId="4" xfId="0" applyNumberFormat="1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/>
    <xf numFmtId="4" fontId="5" fillId="8" borderId="1" xfId="0" applyNumberFormat="1" applyFont="1" applyFill="1" applyBorder="1" applyAlignment="1" applyProtection="1">
      <alignment horizontal="right" vertical="top" wrapText="1"/>
    </xf>
    <xf numFmtId="4" fontId="5" fillId="12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horizontal="right" vertical="top" wrapText="1"/>
    </xf>
    <xf numFmtId="0" fontId="21" fillId="0" borderId="0" xfId="0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left" wrapText="1"/>
    </xf>
    <xf numFmtId="0" fontId="21" fillId="0" borderId="0" xfId="0" applyFont="1"/>
    <xf numFmtId="0" fontId="21" fillId="0" borderId="0" xfId="0" applyFont="1" applyBorder="1" applyAlignment="1" applyProtection="1">
      <alignment wrapText="1"/>
    </xf>
    <xf numFmtId="0" fontId="8" fillId="3" borderId="0" xfId="0" applyFont="1" applyFill="1"/>
    <xf numFmtId="4" fontId="8" fillId="3" borderId="0" xfId="0" applyNumberFormat="1" applyFont="1" applyFill="1"/>
    <xf numFmtId="2" fontId="8" fillId="3" borderId="0" xfId="0" applyNumberFormat="1" applyFont="1" applyFill="1"/>
    <xf numFmtId="0" fontId="8" fillId="3" borderId="0" xfId="0" applyFont="1" applyFill="1" applyAlignment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right" vertical="top" wrapText="1"/>
    </xf>
    <xf numFmtId="0" fontId="16" fillId="2" borderId="0" xfId="0" applyFont="1" applyFill="1" applyBorder="1" applyAlignment="1" applyProtection="1">
      <alignment horizontal="center" vertical="top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right" vertical="top" wrapText="1"/>
    </xf>
    <xf numFmtId="0" fontId="21" fillId="0" borderId="0" xfId="0" applyFont="1" applyBorder="1" applyAlignment="1" applyProtection="1">
      <alignment horizontal="center" wrapText="1"/>
    </xf>
    <xf numFmtId="0" fontId="21" fillId="0" borderId="0" xfId="0" applyFont="1" applyBorder="1" applyAlignment="1" applyProtection="1">
      <alignment horizontal="right" wrapText="1"/>
    </xf>
    <xf numFmtId="0" fontId="13" fillId="0" borderId="0" xfId="1" applyFont="1" applyBorder="1" applyAlignment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6"/>
  <sheetViews>
    <sheetView tabSelected="1" view="pageBreakPreview" topLeftCell="A67" zoomScale="120" zoomScaleNormal="100" zoomScaleSheetLayoutView="120" zoomScalePageLayoutView="95" workbookViewId="0">
      <selection activeCell="A75" sqref="A1:XFD1048576"/>
    </sheetView>
  </sheetViews>
  <sheetFormatPr defaultRowHeight="15"/>
  <cols>
    <col min="1" max="1" width="8.42578125" style="133" customWidth="1"/>
    <col min="2" max="2" width="9.42578125" style="133" customWidth="1"/>
    <col min="3" max="3" width="8.7109375" style="133" customWidth="1"/>
    <col min="4" max="4" width="35.28515625" style="133" customWidth="1"/>
    <col min="5" max="5" width="12.5703125" style="133" bestFit="1" customWidth="1"/>
    <col min="6" max="6" width="13.28515625" style="133" bestFit="1" customWidth="1"/>
    <col min="7" max="7" width="11.28515625" style="133" customWidth="1"/>
    <col min="8" max="8" width="10.140625" style="133" customWidth="1"/>
    <col min="9" max="9" width="9.7109375" style="133" customWidth="1"/>
    <col min="10" max="10" width="10.5703125" style="133" customWidth="1"/>
    <col min="11" max="11" width="11.28515625" style="133" customWidth="1"/>
    <col min="12" max="14" width="9.7109375" style="133" customWidth="1"/>
    <col min="15" max="15" width="11.85546875" style="133" customWidth="1"/>
    <col min="16" max="16" width="11.7109375" style="133" bestFit="1" customWidth="1"/>
    <col min="17" max="18" width="8.85546875" style="133" hidden="1" customWidth="1"/>
    <col min="19" max="19" width="15.42578125" style="133" customWidth="1"/>
    <col min="20" max="255" width="9.140625" style="133" customWidth="1"/>
    <col min="256" max="256" width="9.140625" style="133" hidden="1" customWidth="1"/>
    <col min="257" max="257" width="6.5703125" style="133" customWidth="1"/>
    <col min="258" max="258" width="9.140625" style="133" hidden="1" customWidth="1"/>
    <col min="259" max="259" width="6.5703125" style="133" customWidth="1"/>
    <col min="260" max="260" width="28.5703125" style="133" customWidth="1"/>
    <col min="261" max="261" width="8" style="133" customWidth="1"/>
    <col min="262" max="262" width="7.7109375" style="133" customWidth="1"/>
    <col min="263" max="263" width="8" style="133" customWidth="1"/>
    <col min="264" max="271" width="7" style="133" customWidth="1"/>
    <col min="272" max="272" width="9.140625" style="133" customWidth="1"/>
    <col min="273" max="274" width="9.140625" style="133" hidden="1" customWidth="1"/>
    <col min="275" max="511" width="9.140625" style="133" customWidth="1"/>
    <col min="512" max="512" width="9.140625" style="133" hidden="1" customWidth="1"/>
    <col min="513" max="513" width="6.5703125" style="133" customWidth="1"/>
    <col min="514" max="514" width="9.140625" style="133" hidden="1" customWidth="1"/>
    <col min="515" max="515" width="6.5703125" style="133" customWidth="1"/>
    <col min="516" max="516" width="28.5703125" style="133" customWidth="1"/>
    <col min="517" max="517" width="8" style="133" customWidth="1"/>
    <col min="518" max="518" width="7.7109375" style="133" customWidth="1"/>
    <col min="519" max="519" width="8" style="133" customWidth="1"/>
    <col min="520" max="527" width="7" style="133" customWidth="1"/>
    <col min="528" max="528" width="9.140625" style="133" customWidth="1"/>
    <col min="529" max="530" width="9.140625" style="133" hidden="1" customWidth="1"/>
    <col min="531" max="767" width="9.140625" style="133" customWidth="1"/>
    <col min="768" max="768" width="9.140625" style="133" hidden="1" customWidth="1"/>
    <col min="769" max="769" width="6.5703125" style="133" customWidth="1"/>
    <col min="770" max="770" width="9.140625" style="133" hidden="1" customWidth="1"/>
    <col min="771" max="771" width="6.5703125" style="133" customWidth="1"/>
    <col min="772" max="772" width="28.5703125" style="133" customWidth="1"/>
    <col min="773" max="773" width="8" style="133" customWidth="1"/>
    <col min="774" max="774" width="7.7109375" style="133" customWidth="1"/>
    <col min="775" max="775" width="8" style="133" customWidth="1"/>
    <col min="776" max="783" width="7" style="133" customWidth="1"/>
    <col min="784" max="784" width="9.140625" style="133" customWidth="1"/>
    <col min="785" max="786" width="9.140625" style="133" hidden="1" customWidth="1"/>
    <col min="787" max="1024" width="9.140625" style="133" customWidth="1"/>
    <col min="1025" max="16384" width="9.140625" style="23"/>
  </cols>
  <sheetData>
    <row r="1" spans="1:19" s="37" customFormat="1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143" t="s">
        <v>10</v>
      </c>
      <c r="L1" s="143"/>
      <c r="M1" s="143"/>
      <c r="N1" s="143"/>
      <c r="O1" s="143"/>
      <c r="P1" s="143"/>
      <c r="Q1" s="2"/>
    </row>
    <row r="2" spans="1:19" s="39" customFormat="1" ht="15" customHeight="1">
      <c r="A2" s="38"/>
      <c r="C2" s="3"/>
      <c r="D2" s="3"/>
      <c r="E2" s="3"/>
      <c r="F2" s="3"/>
      <c r="G2" s="3"/>
      <c r="I2" s="3"/>
      <c r="J2" s="143" t="s">
        <v>176</v>
      </c>
      <c r="K2" s="143"/>
      <c r="L2" s="143"/>
      <c r="M2" s="143"/>
      <c r="N2" s="143"/>
      <c r="O2" s="143"/>
      <c r="P2" s="143"/>
    </row>
    <row r="3" spans="1:19" s="39" customFormat="1" ht="12" customHeight="1">
      <c r="A3" s="38"/>
      <c r="C3" s="4"/>
      <c r="D3" s="4"/>
      <c r="E3" s="4"/>
      <c r="F3" s="4"/>
      <c r="G3" s="4"/>
      <c r="H3" s="3"/>
      <c r="I3" s="3"/>
      <c r="J3" s="143"/>
      <c r="K3" s="143"/>
      <c r="L3" s="143"/>
      <c r="M3" s="143"/>
      <c r="N3" s="143"/>
      <c r="O3" s="143"/>
      <c r="P3" s="143"/>
    </row>
    <row r="4" spans="1:19" s="37" customFormat="1" ht="23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48" t="s">
        <v>186</v>
      </c>
      <c r="M4" s="148"/>
      <c r="N4" s="148"/>
      <c r="O4" s="148"/>
      <c r="P4" s="148"/>
      <c r="Q4" s="2"/>
    </row>
    <row r="5" spans="1:19" s="37" customFormat="1" ht="15.75" customHeight="1">
      <c r="A5" s="144" t="s">
        <v>11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2"/>
    </row>
    <row r="6" spans="1:19" s="37" customFormat="1" ht="19.5" customHeight="1">
      <c r="A6" s="145" t="s">
        <v>8</v>
      </c>
      <c r="B6" s="145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2"/>
    </row>
    <row r="7" spans="1:19" s="37" customFormat="1" ht="11.25" customHeight="1">
      <c r="A7" s="147" t="s">
        <v>0</v>
      </c>
      <c r="B7" s="14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 t="s">
        <v>1</v>
      </c>
      <c r="Q7" s="2"/>
    </row>
    <row r="8" spans="1:19" s="13" customFormat="1" ht="15.75" customHeight="1">
      <c r="A8" s="138" t="s">
        <v>187</v>
      </c>
      <c r="B8" s="138" t="s">
        <v>12</v>
      </c>
      <c r="C8" s="138" t="s">
        <v>13</v>
      </c>
      <c r="D8" s="138" t="s">
        <v>14</v>
      </c>
      <c r="E8" s="139" t="s">
        <v>9</v>
      </c>
      <c r="F8" s="139"/>
      <c r="G8" s="139"/>
      <c r="H8" s="139"/>
      <c r="I8" s="139"/>
      <c r="J8" s="140" t="s">
        <v>2</v>
      </c>
      <c r="K8" s="140"/>
      <c r="L8" s="140"/>
      <c r="M8" s="140"/>
      <c r="N8" s="140"/>
      <c r="O8" s="140"/>
      <c r="P8" s="146" t="s">
        <v>15</v>
      </c>
      <c r="Q8" s="10"/>
    </row>
    <row r="9" spans="1:19" s="13" customFormat="1" ht="11.25">
      <c r="A9" s="138"/>
      <c r="B9" s="138"/>
      <c r="C9" s="138"/>
      <c r="D9" s="138"/>
      <c r="E9" s="140" t="s">
        <v>3</v>
      </c>
      <c r="F9" s="141" t="s">
        <v>16</v>
      </c>
      <c r="G9" s="138" t="s">
        <v>17</v>
      </c>
      <c r="H9" s="138"/>
      <c r="I9" s="142" t="s">
        <v>18</v>
      </c>
      <c r="J9" s="140" t="str">
        <f>E9</f>
        <v>усього</v>
      </c>
      <c r="K9" s="141" t="s">
        <v>19</v>
      </c>
      <c r="L9" s="141" t="s">
        <v>16</v>
      </c>
      <c r="M9" s="138" t="s">
        <v>17</v>
      </c>
      <c r="N9" s="138"/>
      <c r="O9" s="141" t="s">
        <v>18</v>
      </c>
      <c r="P9" s="146"/>
      <c r="Q9" s="10"/>
    </row>
    <row r="10" spans="1:19" s="13" customFormat="1" ht="108.75" customHeight="1">
      <c r="A10" s="138"/>
      <c r="B10" s="138"/>
      <c r="C10" s="138"/>
      <c r="D10" s="138"/>
      <c r="E10" s="140"/>
      <c r="F10" s="141"/>
      <c r="G10" s="27" t="s">
        <v>20</v>
      </c>
      <c r="H10" s="27" t="s">
        <v>21</v>
      </c>
      <c r="I10" s="142"/>
      <c r="J10" s="140"/>
      <c r="K10" s="141"/>
      <c r="L10" s="141"/>
      <c r="M10" s="27" t="s">
        <v>20</v>
      </c>
      <c r="N10" s="27" t="s">
        <v>21</v>
      </c>
      <c r="O10" s="141"/>
      <c r="P10" s="146"/>
      <c r="Q10" s="10"/>
    </row>
    <row r="11" spans="1:19" s="13" customFormat="1" ht="15.75" customHeight="1">
      <c r="A11" s="27">
        <v>1</v>
      </c>
      <c r="B11" s="43">
        <v>2</v>
      </c>
      <c r="C11" s="43">
        <v>3</v>
      </c>
      <c r="D11" s="27">
        <v>4</v>
      </c>
      <c r="E11" s="27">
        <v>5</v>
      </c>
      <c r="F11" s="44">
        <v>6</v>
      </c>
      <c r="G11" s="27">
        <v>7</v>
      </c>
      <c r="H11" s="27">
        <v>8</v>
      </c>
      <c r="I11" s="45">
        <v>9</v>
      </c>
      <c r="J11" s="27">
        <v>10</v>
      </c>
      <c r="K11" s="44">
        <v>11</v>
      </c>
      <c r="L11" s="44">
        <v>12</v>
      </c>
      <c r="M11" s="27">
        <v>13</v>
      </c>
      <c r="N11" s="27">
        <v>14</v>
      </c>
      <c r="O11" s="44">
        <v>15</v>
      </c>
      <c r="P11" s="46">
        <v>16</v>
      </c>
      <c r="Q11" s="10"/>
    </row>
    <row r="12" spans="1:19" s="53" customFormat="1" ht="25.5" customHeight="1">
      <c r="A12" s="47" t="s">
        <v>22</v>
      </c>
      <c r="B12" s="48"/>
      <c r="C12" s="49"/>
      <c r="D12" s="50" t="s">
        <v>23</v>
      </c>
      <c r="E12" s="51">
        <f t="shared" ref="E12:P12" si="0">E13</f>
        <v>82183690</v>
      </c>
      <c r="F12" s="51">
        <f t="shared" si="0"/>
        <v>82183690</v>
      </c>
      <c r="G12" s="51">
        <f t="shared" si="0"/>
        <v>47974324</v>
      </c>
      <c r="H12" s="51">
        <f t="shared" si="0"/>
        <v>8265911</v>
      </c>
      <c r="I12" s="51">
        <f t="shared" si="0"/>
        <v>0</v>
      </c>
      <c r="J12" s="51">
        <f t="shared" si="0"/>
        <v>15479107</v>
      </c>
      <c r="K12" s="51">
        <f t="shared" si="0"/>
        <v>14735107</v>
      </c>
      <c r="L12" s="51">
        <f t="shared" si="0"/>
        <v>744000</v>
      </c>
      <c r="M12" s="51">
        <f t="shared" si="0"/>
        <v>1000</v>
      </c>
      <c r="N12" s="51">
        <f t="shared" si="0"/>
        <v>0</v>
      </c>
      <c r="O12" s="51">
        <f t="shared" si="0"/>
        <v>14735107</v>
      </c>
      <c r="P12" s="51">
        <f t="shared" si="0"/>
        <v>97662797</v>
      </c>
      <c r="Q12" s="52"/>
      <c r="S12" s="54"/>
    </row>
    <row r="13" spans="1:19" s="13" customFormat="1" ht="25.5" customHeight="1">
      <c r="A13" s="55" t="s">
        <v>24</v>
      </c>
      <c r="B13" s="56"/>
      <c r="C13" s="17"/>
      <c r="D13" s="18" t="s">
        <v>23</v>
      </c>
      <c r="E13" s="57">
        <f t="shared" ref="E13:P13" si="1">E14+E17+E38+E43+E68+E72+E75+E78+E87</f>
        <v>82183690</v>
      </c>
      <c r="F13" s="57">
        <f t="shared" si="1"/>
        <v>82183690</v>
      </c>
      <c r="G13" s="57">
        <f t="shared" si="1"/>
        <v>47974324</v>
      </c>
      <c r="H13" s="57">
        <f t="shared" si="1"/>
        <v>8265911</v>
      </c>
      <c r="I13" s="57">
        <f t="shared" si="1"/>
        <v>0</v>
      </c>
      <c r="J13" s="57">
        <f t="shared" si="1"/>
        <v>15479107</v>
      </c>
      <c r="K13" s="57">
        <f t="shared" si="1"/>
        <v>14735107</v>
      </c>
      <c r="L13" s="57">
        <f t="shared" si="1"/>
        <v>744000</v>
      </c>
      <c r="M13" s="57">
        <f t="shared" si="1"/>
        <v>1000</v>
      </c>
      <c r="N13" s="57">
        <f t="shared" si="1"/>
        <v>0</v>
      </c>
      <c r="O13" s="57">
        <f t="shared" si="1"/>
        <v>14735107</v>
      </c>
      <c r="P13" s="57">
        <f t="shared" si="1"/>
        <v>97662797</v>
      </c>
      <c r="Q13" s="57" t="e">
        <f>Q14+Q17+Q38+Q43+Q68+Q72+Q75+Q78+#REF!+#REF!+#REF!+Q87+#REF!</f>
        <v>#REF!</v>
      </c>
      <c r="R13" s="57" t="e">
        <f>R14+R17+R38+R43+R68+R72+R75+R78+#REF!+#REF!+#REF!+R87+#REF!</f>
        <v>#REF!</v>
      </c>
    </row>
    <row r="14" spans="1:19" s="13" customFormat="1" ht="16.899999999999999" customHeight="1">
      <c r="A14" s="55"/>
      <c r="B14" s="55" t="s">
        <v>25</v>
      </c>
      <c r="C14" s="17"/>
      <c r="D14" s="18" t="s">
        <v>26</v>
      </c>
      <c r="E14" s="57">
        <f>E15+E16</f>
        <v>14915925</v>
      </c>
      <c r="F14" s="57">
        <f t="shared" ref="F14:P14" si="2">F15+F16</f>
        <v>14915925</v>
      </c>
      <c r="G14" s="57">
        <f t="shared" si="2"/>
        <v>10765000</v>
      </c>
      <c r="H14" s="57">
        <f t="shared" si="2"/>
        <v>610000</v>
      </c>
      <c r="I14" s="57">
        <f t="shared" si="2"/>
        <v>0</v>
      </c>
      <c r="J14" s="57">
        <f t="shared" si="2"/>
        <v>1639129</v>
      </c>
      <c r="K14" s="57">
        <f t="shared" si="2"/>
        <v>1639129</v>
      </c>
      <c r="L14" s="57">
        <f t="shared" si="2"/>
        <v>0</v>
      </c>
      <c r="M14" s="57">
        <f t="shared" si="2"/>
        <v>0</v>
      </c>
      <c r="N14" s="57">
        <f t="shared" si="2"/>
        <v>0</v>
      </c>
      <c r="O14" s="57">
        <f t="shared" si="2"/>
        <v>1639129</v>
      </c>
      <c r="P14" s="57">
        <f t="shared" si="2"/>
        <v>16555054</v>
      </c>
      <c r="Q14" s="57" t="e">
        <f>#REF!+Q15</f>
        <v>#REF!</v>
      </c>
      <c r="R14" s="57" t="e">
        <f>#REF!+R15</f>
        <v>#REF!</v>
      </c>
    </row>
    <row r="15" spans="1:19" s="13" customFormat="1" ht="39" customHeight="1">
      <c r="A15" s="58" t="s">
        <v>27</v>
      </c>
      <c r="B15" s="27" t="s">
        <v>28</v>
      </c>
      <c r="C15" s="27" t="s">
        <v>29</v>
      </c>
      <c r="D15" s="19" t="s">
        <v>30</v>
      </c>
      <c r="E15" s="5">
        <f>F15</f>
        <v>14883925</v>
      </c>
      <c r="F15" s="6">
        <f>13579000+679925+10000+55000+360000+150000+50000</f>
        <v>14883925</v>
      </c>
      <c r="G15" s="6">
        <f>10465000+300000</f>
        <v>10765000</v>
      </c>
      <c r="H15" s="6">
        <f>420000+90000+100000</f>
        <v>610000</v>
      </c>
      <c r="I15" s="5">
        <v>0</v>
      </c>
      <c r="J15" s="5">
        <f>K15</f>
        <v>1639129</v>
      </c>
      <c r="K15" s="6">
        <f>68129+1236235+134765+200000</f>
        <v>1639129</v>
      </c>
      <c r="L15" s="5">
        <v>0</v>
      </c>
      <c r="M15" s="5">
        <v>0</v>
      </c>
      <c r="N15" s="5">
        <v>0</v>
      </c>
      <c r="O15" s="5">
        <f>K15</f>
        <v>1639129</v>
      </c>
      <c r="P15" s="59">
        <f>E15+J15</f>
        <v>16523054</v>
      </c>
      <c r="Q15" s="10"/>
    </row>
    <row r="16" spans="1:19" s="13" customFormat="1" ht="30" customHeight="1">
      <c r="A16" s="60" t="s">
        <v>139</v>
      </c>
      <c r="B16" s="60" t="s">
        <v>135</v>
      </c>
      <c r="C16" s="61" t="s">
        <v>129</v>
      </c>
      <c r="D16" s="62" t="s">
        <v>140</v>
      </c>
      <c r="E16" s="5">
        <f>F16</f>
        <v>32000</v>
      </c>
      <c r="F16" s="63">
        <f>17000+15000</f>
        <v>32000</v>
      </c>
      <c r="G16" s="64">
        <v>0</v>
      </c>
      <c r="H16" s="64">
        <v>0</v>
      </c>
      <c r="I16" s="5">
        <v>0</v>
      </c>
      <c r="J16" s="5">
        <v>0</v>
      </c>
      <c r="K16" s="64">
        <v>0</v>
      </c>
      <c r="L16" s="5">
        <v>0</v>
      </c>
      <c r="M16" s="5">
        <v>0</v>
      </c>
      <c r="N16" s="5">
        <v>0</v>
      </c>
      <c r="O16" s="5">
        <v>0</v>
      </c>
      <c r="P16" s="59">
        <f>E16+J16</f>
        <v>32000</v>
      </c>
      <c r="Q16" s="23"/>
    </row>
    <row r="17" spans="1:19" s="13" customFormat="1" ht="15" customHeight="1">
      <c r="A17" s="17"/>
      <c r="B17" s="17">
        <v>1000</v>
      </c>
      <c r="C17" s="17"/>
      <c r="D17" s="65" t="s">
        <v>31</v>
      </c>
      <c r="E17" s="66">
        <f>E18+E19+E23+E31+E34+E36</f>
        <v>48292475</v>
      </c>
      <c r="F17" s="66">
        <f t="shared" ref="F17:P17" si="3">F18+F19+F23+F31+F34+F36</f>
        <v>48292475</v>
      </c>
      <c r="G17" s="66">
        <f t="shared" si="3"/>
        <v>32947324</v>
      </c>
      <c r="H17" s="66">
        <f t="shared" si="3"/>
        <v>4661784</v>
      </c>
      <c r="I17" s="66">
        <f t="shared" si="3"/>
        <v>0</v>
      </c>
      <c r="J17" s="66">
        <f t="shared" si="3"/>
        <v>5154338</v>
      </c>
      <c r="K17" s="66">
        <f t="shared" si="3"/>
        <v>4534338</v>
      </c>
      <c r="L17" s="66">
        <f t="shared" si="3"/>
        <v>620000</v>
      </c>
      <c r="M17" s="66">
        <f t="shared" si="3"/>
        <v>0</v>
      </c>
      <c r="N17" s="66">
        <f t="shared" si="3"/>
        <v>0</v>
      </c>
      <c r="O17" s="66">
        <f t="shared" si="3"/>
        <v>4534338</v>
      </c>
      <c r="P17" s="66">
        <f t="shared" si="3"/>
        <v>53446813</v>
      </c>
      <c r="Q17" s="10"/>
      <c r="S17" s="54"/>
    </row>
    <row r="18" spans="1:19" s="13" customFormat="1" ht="21" customHeight="1">
      <c r="A18" s="14" t="s">
        <v>32</v>
      </c>
      <c r="B18" s="14" t="s">
        <v>33</v>
      </c>
      <c r="C18" s="14" t="s">
        <v>34</v>
      </c>
      <c r="D18" s="15" t="s">
        <v>35</v>
      </c>
      <c r="E18" s="8">
        <f>F18</f>
        <v>10516528</v>
      </c>
      <c r="F18" s="9">
        <f>10880580+960000+15000-400000-60000+640000+50000-91274-1477778</f>
        <v>10516528</v>
      </c>
      <c r="G18" s="9">
        <f>7931000+300000-1277778</f>
        <v>6953222</v>
      </c>
      <c r="H18" s="9">
        <f>672000+540000+200000-400000-60000</f>
        <v>952000</v>
      </c>
      <c r="I18" s="11">
        <v>0</v>
      </c>
      <c r="J18" s="8">
        <f>L18+K18</f>
        <v>2890794</v>
      </c>
      <c r="K18" s="8">
        <f>50000+2925000+8480-378126-50000+6700+18740</f>
        <v>2580794</v>
      </c>
      <c r="L18" s="9">
        <f>300000+10000</f>
        <v>310000</v>
      </c>
      <c r="M18" s="8">
        <v>0</v>
      </c>
      <c r="N18" s="8">
        <v>0</v>
      </c>
      <c r="O18" s="8">
        <f t="shared" ref="O18:O19" si="4">K18</f>
        <v>2580794</v>
      </c>
      <c r="P18" s="29">
        <f>E18+J18</f>
        <v>13407322</v>
      </c>
      <c r="Q18" s="10"/>
    </row>
    <row r="19" spans="1:19" s="13" customFormat="1" ht="36" customHeight="1">
      <c r="A19" s="14" t="s">
        <v>37</v>
      </c>
      <c r="B19" s="14" t="s">
        <v>38</v>
      </c>
      <c r="C19" s="14" t="s">
        <v>39</v>
      </c>
      <c r="D19" s="15" t="s">
        <v>158</v>
      </c>
      <c r="E19" s="28">
        <f>E20+E22+E21</f>
        <v>15196013</v>
      </c>
      <c r="F19" s="28">
        <f t="shared" ref="F19:P19" si="5">F20+F22+F21</f>
        <v>15196013</v>
      </c>
      <c r="G19" s="28">
        <f t="shared" si="5"/>
        <v>7532400</v>
      </c>
      <c r="H19" s="28">
        <f t="shared" si="5"/>
        <v>3655000</v>
      </c>
      <c r="I19" s="28">
        <f t="shared" si="5"/>
        <v>0</v>
      </c>
      <c r="J19" s="28">
        <f t="shared" si="5"/>
        <v>2263544</v>
      </c>
      <c r="K19" s="28">
        <f t="shared" si="5"/>
        <v>1953544</v>
      </c>
      <c r="L19" s="28">
        <f t="shared" si="5"/>
        <v>310000</v>
      </c>
      <c r="M19" s="28">
        <f t="shared" si="5"/>
        <v>0</v>
      </c>
      <c r="N19" s="28">
        <f t="shared" si="5"/>
        <v>0</v>
      </c>
      <c r="O19" s="8">
        <f t="shared" si="4"/>
        <v>1953544</v>
      </c>
      <c r="P19" s="28">
        <f t="shared" si="5"/>
        <v>17459557</v>
      </c>
      <c r="Q19" s="10"/>
    </row>
    <row r="20" spans="1:19" s="13" customFormat="1" ht="22.5" customHeight="1">
      <c r="A20" s="27"/>
      <c r="B20" s="27"/>
      <c r="C20" s="27"/>
      <c r="D20" s="7" t="s">
        <v>36</v>
      </c>
      <c r="E20" s="8">
        <f>F20</f>
        <v>14949213</v>
      </c>
      <c r="F20" s="9">
        <f>12035390+2073823+350000-650000+450000+400000+60000+460000+10000-190000+100000-150000</f>
        <v>14949213</v>
      </c>
      <c r="G20" s="9">
        <f>7621500-150000-125000</f>
        <v>7346500</v>
      </c>
      <c r="H20" s="9">
        <f>2145000+500000+200000+350000+400000+60000-20000</f>
        <v>3635000</v>
      </c>
      <c r="I20" s="11">
        <v>0</v>
      </c>
      <c r="J20" s="8">
        <f>K20+L20</f>
        <v>2263544</v>
      </c>
      <c r="K20" s="9">
        <f>934359+650000+260000+35000+266000-199765-1400+9350</f>
        <v>1953544</v>
      </c>
      <c r="L20" s="9">
        <v>310000</v>
      </c>
      <c r="M20" s="8">
        <v>0</v>
      </c>
      <c r="N20" s="8">
        <v>0</v>
      </c>
      <c r="O20" s="8">
        <f>K20</f>
        <v>1953544</v>
      </c>
      <c r="P20" s="12">
        <f>E20+J20</f>
        <v>17212757</v>
      </c>
      <c r="Q20" s="10"/>
    </row>
    <row r="21" spans="1:19" s="13" customFormat="1" ht="101.25">
      <c r="A21" s="27"/>
      <c r="B21" s="27"/>
      <c r="C21" s="27"/>
      <c r="D21" s="7" t="s">
        <v>160</v>
      </c>
      <c r="E21" s="8">
        <f>F21</f>
        <v>20000</v>
      </c>
      <c r="F21" s="67">
        <f>H21</f>
        <v>20000</v>
      </c>
      <c r="G21" s="8">
        <v>0</v>
      </c>
      <c r="H21" s="9">
        <v>20000</v>
      </c>
      <c r="I21" s="11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2">
        <f>E21+J21</f>
        <v>20000</v>
      </c>
      <c r="Q21" s="10"/>
    </row>
    <row r="22" spans="1:19" s="13" customFormat="1" ht="68.25" customHeight="1">
      <c r="A22" s="27"/>
      <c r="B22" s="27"/>
      <c r="C22" s="27"/>
      <c r="D22" s="7" t="s">
        <v>40</v>
      </c>
      <c r="E22" s="8">
        <f>F22</f>
        <v>226800</v>
      </c>
      <c r="F22" s="68">
        <v>226800</v>
      </c>
      <c r="G22" s="9">
        <v>185900</v>
      </c>
      <c r="H22" s="8">
        <v>0</v>
      </c>
      <c r="I22" s="11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2">
        <f>E22+J22</f>
        <v>226800</v>
      </c>
      <c r="Q22" s="10"/>
    </row>
    <row r="23" spans="1:19" s="13" customFormat="1" ht="34.5" customHeight="1">
      <c r="A23" s="14" t="s">
        <v>41</v>
      </c>
      <c r="B23" s="14" t="s">
        <v>42</v>
      </c>
      <c r="C23" s="14" t="s">
        <v>39</v>
      </c>
      <c r="D23" s="15" t="s">
        <v>159</v>
      </c>
      <c r="E23" s="8">
        <f>F23</f>
        <v>21555900</v>
      </c>
      <c r="F23" s="9">
        <v>21555900</v>
      </c>
      <c r="G23" s="9">
        <v>17700400</v>
      </c>
      <c r="H23" s="8">
        <v>0</v>
      </c>
      <c r="I23" s="11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12">
        <f>E23+J23</f>
        <v>21555900</v>
      </c>
      <c r="Q23" s="10"/>
    </row>
    <row r="24" spans="1:19" s="13" customFormat="1" ht="0.75" customHeight="1">
      <c r="A24" s="27"/>
      <c r="B24" s="27"/>
      <c r="C24" s="27"/>
      <c r="D24" s="7"/>
      <c r="E24" s="8"/>
      <c r="F24" s="8"/>
      <c r="G24" s="8"/>
      <c r="H24" s="8"/>
      <c r="I24" s="11"/>
      <c r="J24" s="8"/>
      <c r="K24" s="8"/>
      <c r="L24" s="8"/>
      <c r="M24" s="8"/>
      <c r="N24" s="8"/>
      <c r="O24" s="8"/>
      <c r="P24" s="12"/>
      <c r="Q24" s="10"/>
    </row>
    <row r="25" spans="1:19" s="13" customFormat="1" ht="29.25" hidden="1" customHeight="1">
      <c r="A25" s="27"/>
      <c r="B25" s="27"/>
      <c r="C25" s="27"/>
      <c r="D25" s="7"/>
      <c r="E25" s="8"/>
      <c r="F25" s="8"/>
      <c r="G25" s="8"/>
      <c r="H25" s="8"/>
      <c r="I25" s="69"/>
      <c r="J25" s="70"/>
      <c r="K25" s="70"/>
      <c r="L25" s="70"/>
      <c r="M25" s="70"/>
      <c r="N25" s="70"/>
      <c r="O25" s="70"/>
      <c r="P25" s="71"/>
      <c r="Q25" s="10"/>
    </row>
    <row r="26" spans="1:19" s="13" customFormat="1" ht="30" hidden="1" customHeight="1">
      <c r="A26" s="27"/>
      <c r="B26" s="27"/>
      <c r="C26" s="27"/>
      <c r="D26" s="7"/>
      <c r="E26" s="8"/>
      <c r="F26" s="8"/>
      <c r="G26" s="8"/>
      <c r="H26" s="11"/>
      <c r="I26" s="8"/>
      <c r="J26" s="8"/>
      <c r="K26" s="8"/>
      <c r="L26" s="8"/>
      <c r="M26" s="8"/>
      <c r="N26" s="8"/>
      <c r="O26" s="8"/>
      <c r="P26" s="71"/>
      <c r="Q26" s="10"/>
    </row>
    <row r="27" spans="1:19" s="13" customFormat="1" ht="15.75" customHeight="1">
      <c r="A27" s="138" t="s">
        <v>187</v>
      </c>
      <c r="B27" s="138" t="s">
        <v>12</v>
      </c>
      <c r="C27" s="138" t="s">
        <v>13</v>
      </c>
      <c r="D27" s="138" t="s">
        <v>14</v>
      </c>
      <c r="E27" s="139" t="s">
        <v>9</v>
      </c>
      <c r="F27" s="139"/>
      <c r="G27" s="139"/>
      <c r="H27" s="139"/>
      <c r="I27" s="139"/>
      <c r="J27" s="140" t="s">
        <v>2</v>
      </c>
      <c r="K27" s="140"/>
      <c r="L27" s="140"/>
      <c r="M27" s="140"/>
      <c r="N27" s="140"/>
      <c r="O27" s="140"/>
      <c r="P27" s="146" t="s">
        <v>15</v>
      </c>
      <c r="Q27" s="10"/>
    </row>
    <row r="28" spans="1:19" s="13" customFormat="1" ht="11.25">
      <c r="A28" s="138"/>
      <c r="B28" s="138"/>
      <c r="C28" s="138"/>
      <c r="D28" s="138"/>
      <c r="E28" s="140" t="s">
        <v>3</v>
      </c>
      <c r="F28" s="141" t="s">
        <v>16</v>
      </c>
      <c r="G28" s="138" t="s">
        <v>17</v>
      </c>
      <c r="H28" s="138"/>
      <c r="I28" s="142" t="s">
        <v>18</v>
      </c>
      <c r="J28" s="140" t="str">
        <f>E28</f>
        <v>усього</v>
      </c>
      <c r="K28" s="141" t="s">
        <v>19</v>
      </c>
      <c r="L28" s="141" t="s">
        <v>16</v>
      </c>
      <c r="M28" s="138" t="s">
        <v>17</v>
      </c>
      <c r="N28" s="138"/>
      <c r="O28" s="141" t="s">
        <v>18</v>
      </c>
      <c r="P28" s="146"/>
      <c r="Q28" s="10"/>
    </row>
    <row r="29" spans="1:19" s="13" customFormat="1" ht="108.75" customHeight="1">
      <c r="A29" s="138"/>
      <c r="B29" s="138"/>
      <c r="C29" s="138"/>
      <c r="D29" s="138"/>
      <c r="E29" s="140"/>
      <c r="F29" s="141"/>
      <c r="G29" s="137" t="s">
        <v>20</v>
      </c>
      <c r="H29" s="137" t="s">
        <v>21</v>
      </c>
      <c r="I29" s="142"/>
      <c r="J29" s="140"/>
      <c r="K29" s="141"/>
      <c r="L29" s="141"/>
      <c r="M29" s="137" t="s">
        <v>20</v>
      </c>
      <c r="N29" s="137" t="s">
        <v>21</v>
      </c>
      <c r="O29" s="141"/>
      <c r="P29" s="146"/>
      <c r="Q29" s="10"/>
    </row>
    <row r="30" spans="1:19" s="13" customFormat="1" ht="17.25" customHeight="1">
      <c r="A30" s="27">
        <v>1</v>
      </c>
      <c r="B30" s="43">
        <v>2</v>
      </c>
      <c r="C30" s="43">
        <v>3</v>
      </c>
      <c r="D30" s="27">
        <v>4</v>
      </c>
      <c r="E30" s="17">
        <v>5</v>
      </c>
      <c r="F30" s="44">
        <v>6</v>
      </c>
      <c r="G30" s="27">
        <v>7</v>
      </c>
      <c r="H30" s="72">
        <v>8</v>
      </c>
      <c r="I30" s="73">
        <v>9</v>
      </c>
      <c r="J30" s="72">
        <v>10</v>
      </c>
      <c r="K30" s="74">
        <v>11</v>
      </c>
      <c r="L30" s="74">
        <v>12</v>
      </c>
      <c r="M30" s="72">
        <v>13</v>
      </c>
      <c r="N30" s="72">
        <v>14</v>
      </c>
      <c r="O30" s="74">
        <v>15</v>
      </c>
      <c r="P30" s="75">
        <v>16</v>
      </c>
      <c r="Q30" s="10"/>
    </row>
    <row r="31" spans="1:19" s="13" customFormat="1" ht="27" customHeight="1">
      <c r="A31" s="14" t="s">
        <v>43</v>
      </c>
      <c r="B31" s="27">
        <v>1160</v>
      </c>
      <c r="C31" s="14" t="s">
        <v>44</v>
      </c>
      <c r="D31" s="15" t="s">
        <v>45</v>
      </c>
      <c r="E31" s="8">
        <f t="shared" ref="E31:E33" si="6">F31</f>
        <v>969199</v>
      </c>
      <c r="F31" s="76">
        <f>F32+F33</f>
        <v>969199</v>
      </c>
      <c r="G31" s="76">
        <f>G32+G33</f>
        <v>716756</v>
      </c>
      <c r="H31" s="76">
        <f>H32+H33</f>
        <v>54784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77">
        <f>J31+E31</f>
        <v>969199</v>
      </c>
      <c r="Q31" s="10"/>
    </row>
    <row r="32" spans="1:19" s="80" customFormat="1" ht="27" customHeight="1">
      <c r="A32" s="78"/>
      <c r="B32" s="44"/>
      <c r="C32" s="78"/>
      <c r="D32" s="7" t="str">
        <f>D20</f>
        <v>в т.ч.  за рахунок коштів місцевого бюджету</v>
      </c>
      <c r="E32" s="8">
        <f t="shared" si="6"/>
        <v>337203</v>
      </c>
      <c r="F32" s="9">
        <f>265000+120000-47797</f>
        <v>337203</v>
      </c>
      <c r="G32" s="30">
        <f>178143+100000-38835</f>
        <v>239308</v>
      </c>
      <c r="H32" s="9">
        <f>10000+15000</f>
        <v>25000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71">
        <f>J32+E32</f>
        <v>337203</v>
      </c>
      <c r="Q32" s="79"/>
    </row>
    <row r="33" spans="1:18" s="80" customFormat="1" ht="22.5" customHeight="1">
      <c r="A33" s="78"/>
      <c r="B33" s="44"/>
      <c r="C33" s="78"/>
      <c r="D33" s="7" t="s">
        <v>46</v>
      </c>
      <c r="E33" s="8">
        <f t="shared" si="6"/>
        <v>631996</v>
      </c>
      <c r="F33" s="9">
        <f>540857+47797+43342</f>
        <v>631996</v>
      </c>
      <c r="G33" s="30">
        <f>403073+38835+35540</f>
        <v>477448</v>
      </c>
      <c r="H33" s="9">
        <v>29784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f>J33+E33</f>
        <v>631996</v>
      </c>
      <c r="Q33" s="79"/>
    </row>
    <row r="34" spans="1:18" s="13" customFormat="1" ht="44.25" customHeight="1">
      <c r="A34" s="14" t="s">
        <v>47</v>
      </c>
      <c r="B34" s="27">
        <v>1200</v>
      </c>
      <c r="C34" s="14" t="s">
        <v>44</v>
      </c>
      <c r="D34" s="15" t="s">
        <v>48</v>
      </c>
      <c r="E34" s="81">
        <f t="shared" ref="E34:E35" si="7">F34</f>
        <v>41011</v>
      </c>
      <c r="F34" s="81">
        <f>F35</f>
        <v>41011</v>
      </c>
      <c r="G34" s="82">
        <f>G35</f>
        <v>33215</v>
      </c>
      <c r="H34" s="83">
        <f>H35</f>
        <v>0</v>
      </c>
      <c r="I34" s="83">
        <f t="shared" ref="I34:O34" si="8">I35</f>
        <v>0</v>
      </c>
      <c r="J34" s="83">
        <f t="shared" si="8"/>
        <v>0</v>
      </c>
      <c r="K34" s="83">
        <f t="shared" si="8"/>
        <v>0</v>
      </c>
      <c r="L34" s="83">
        <f t="shared" si="8"/>
        <v>0</v>
      </c>
      <c r="M34" s="83">
        <f t="shared" si="8"/>
        <v>0</v>
      </c>
      <c r="N34" s="83">
        <f t="shared" si="8"/>
        <v>0</v>
      </c>
      <c r="O34" s="83">
        <f t="shared" si="8"/>
        <v>0</v>
      </c>
      <c r="P34" s="29">
        <f>E34+J34</f>
        <v>41011</v>
      </c>
      <c r="Q34" s="10"/>
    </row>
    <row r="35" spans="1:18" s="13" customFormat="1" ht="54.75" customHeight="1">
      <c r="A35" s="27"/>
      <c r="B35" s="27"/>
      <c r="C35" s="27"/>
      <c r="D35" s="84" t="s">
        <v>49</v>
      </c>
      <c r="E35" s="8">
        <f t="shared" si="7"/>
        <v>41011</v>
      </c>
      <c r="F35" s="34">
        <v>41011</v>
      </c>
      <c r="G35" s="34">
        <v>33215</v>
      </c>
      <c r="H35" s="83">
        <f t="shared" ref="H35:O35" si="9">H38</f>
        <v>0</v>
      </c>
      <c r="I35" s="83">
        <f t="shared" si="9"/>
        <v>0</v>
      </c>
      <c r="J35" s="83">
        <f t="shared" si="9"/>
        <v>0</v>
      </c>
      <c r="K35" s="83">
        <f t="shared" si="9"/>
        <v>0</v>
      </c>
      <c r="L35" s="83">
        <f t="shared" si="9"/>
        <v>0</v>
      </c>
      <c r="M35" s="83">
        <f t="shared" si="9"/>
        <v>0</v>
      </c>
      <c r="N35" s="83">
        <f t="shared" si="9"/>
        <v>0</v>
      </c>
      <c r="O35" s="83">
        <f t="shared" si="9"/>
        <v>0</v>
      </c>
      <c r="P35" s="29">
        <f>E35+J35</f>
        <v>41011</v>
      </c>
      <c r="Q35" s="10"/>
    </row>
    <row r="36" spans="1:18" s="13" customFormat="1" ht="63.75" customHeight="1">
      <c r="A36" s="27" t="s">
        <v>170</v>
      </c>
      <c r="B36" s="27" t="s">
        <v>171</v>
      </c>
      <c r="C36" s="27" t="s">
        <v>44</v>
      </c>
      <c r="D36" s="85" t="s">
        <v>172</v>
      </c>
      <c r="E36" s="8">
        <f>E37</f>
        <v>13824</v>
      </c>
      <c r="F36" s="35">
        <f>F37</f>
        <v>13824</v>
      </c>
      <c r="G36" s="35">
        <f>G37</f>
        <v>11331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29">
        <f t="shared" ref="P36:P37" si="10">E36+J36</f>
        <v>13824</v>
      </c>
      <c r="Q36" s="10">
        <v>13824</v>
      </c>
    </row>
    <row r="37" spans="1:18" s="13" customFormat="1" ht="71.25" customHeight="1">
      <c r="A37" s="27" t="s">
        <v>173</v>
      </c>
      <c r="B37" s="27" t="s">
        <v>173</v>
      </c>
      <c r="C37" s="27" t="s">
        <v>173</v>
      </c>
      <c r="D37" s="84" t="s">
        <v>174</v>
      </c>
      <c r="E37" s="8">
        <f>F37</f>
        <v>13824</v>
      </c>
      <c r="F37" s="33">
        <v>13824</v>
      </c>
      <c r="G37" s="86">
        <v>11331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29">
        <f t="shared" si="10"/>
        <v>13824</v>
      </c>
      <c r="Q37" s="10">
        <v>13824</v>
      </c>
    </row>
    <row r="38" spans="1:18" s="13" customFormat="1" ht="16.149999999999999" customHeight="1">
      <c r="A38" s="17"/>
      <c r="B38" s="17">
        <v>2000</v>
      </c>
      <c r="C38" s="17"/>
      <c r="D38" s="87" t="s">
        <v>50</v>
      </c>
      <c r="E38" s="88">
        <f>E39+E42</f>
        <v>1894297</v>
      </c>
      <c r="F38" s="88">
        <f t="shared" ref="F38:P38" si="11">F39+F42</f>
        <v>1894297</v>
      </c>
      <c r="G38" s="88">
        <f t="shared" si="11"/>
        <v>0</v>
      </c>
      <c r="H38" s="88">
        <f t="shared" si="11"/>
        <v>0</v>
      </c>
      <c r="I38" s="88">
        <f t="shared" si="11"/>
        <v>0</v>
      </c>
      <c r="J38" s="88">
        <f t="shared" si="11"/>
        <v>0</v>
      </c>
      <c r="K38" s="88">
        <f t="shared" si="11"/>
        <v>0</v>
      </c>
      <c r="L38" s="88">
        <f t="shared" si="11"/>
        <v>0</v>
      </c>
      <c r="M38" s="88">
        <f t="shared" si="11"/>
        <v>0</v>
      </c>
      <c r="N38" s="88">
        <f t="shared" si="11"/>
        <v>0</v>
      </c>
      <c r="O38" s="88">
        <f t="shared" si="11"/>
        <v>0</v>
      </c>
      <c r="P38" s="88">
        <f t="shared" si="11"/>
        <v>1894297</v>
      </c>
      <c r="Q38" s="10"/>
    </row>
    <row r="39" spans="1:18" s="13" customFormat="1" ht="42.75" customHeight="1">
      <c r="A39" s="14" t="s">
        <v>51</v>
      </c>
      <c r="B39" s="27">
        <v>2111</v>
      </c>
      <c r="C39" s="27" t="s">
        <v>52</v>
      </c>
      <c r="D39" s="15" t="s">
        <v>53</v>
      </c>
      <c r="E39" s="28">
        <f>F39</f>
        <v>1544297</v>
      </c>
      <c r="F39" s="28">
        <f>F40+F41</f>
        <v>1544297</v>
      </c>
      <c r="G39" s="28">
        <f t="shared" ref="G39:L39" si="12">G40</f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8">
        <f t="shared" si="12"/>
        <v>0</v>
      </c>
      <c r="L39" s="28">
        <f t="shared" si="12"/>
        <v>0</v>
      </c>
      <c r="M39" s="28">
        <f t="shared" ref="M39:O39" si="13">M40</f>
        <v>0</v>
      </c>
      <c r="N39" s="28">
        <f t="shared" si="13"/>
        <v>0</v>
      </c>
      <c r="O39" s="28">
        <f t="shared" si="13"/>
        <v>0</v>
      </c>
      <c r="P39" s="29">
        <f t="shared" ref="P39:P42" si="14">E39+J39</f>
        <v>1544297</v>
      </c>
      <c r="Q39" s="10"/>
    </row>
    <row r="40" spans="1:18" s="13" customFormat="1" ht="27" customHeight="1">
      <c r="A40" s="27"/>
      <c r="B40" s="27"/>
      <c r="C40" s="27"/>
      <c r="D40" s="7" t="s">
        <v>36</v>
      </c>
      <c r="E40" s="8">
        <f>F40</f>
        <v>1494297</v>
      </c>
      <c r="F40" s="9">
        <f>1125000+43000+170000+88500+47797+20000</f>
        <v>1494297</v>
      </c>
      <c r="G40" s="8">
        <v>0</v>
      </c>
      <c r="H40" s="8">
        <v>0</v>
      </c>
      <c r="I40" s="11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2">
        <f t="shared" si="14"/>
        <v>1494297</v>
      </c>
      <c r="Q40" s="10"/>
    </row>
    <row r="41" spans="1:18" s="13" customFormat="1" ht="79.5" customHeight="1">
      <c r="A41" s="27"/>
      <c r="B41" s="27"/>
      <c r="C41" s="27"/>
      <c r="D41" s="7" t="str">
        <f>D22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E41" s="8">
        <f>F41</f>
        <v>50000</v>
      </c>
      <c r="F41" s="9">
        <v>50000</v>
      </c>
      <c r="G41" s="8">
        <v>0</v>
      </c>
      <c r="H41" s="8">
        <v>0</v>
      </c>
      <c r="I41" s="11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12">
        <f t="shared" si="14"/>
        <v>50000</v>
      </c>
      <c r="Q41" s="10"/>
    </row>
    <row r="42" spans="1:18" s="13" customFormat="1" ht="21" customHeight="1">
      <c r="A42" s="14" t="s">
        <v>54</v>
      </c>
      <c r="B42" s="27">
        <v>2144</v>
      </c>
      <c r="C42" s="14" t="s">
        <v>55</v>
      </c>
      <c r="D42" s="15" t="s">
        <v>56</v>
      </c>
      <c r="E42" s="8">
        <f>F42</f>
        <v>350000</v>
      </c>
      <c r="F42" s="9">
        <f>200000+150000</f>
        <v>350000</v>
      </c>
      <c r="G42" s="28">
        <v>0</v>
      </c>
      <c r="H42" s="28">
        <v>0</v>
      </c>
      <c r="I42" s="31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12">
        <f t="shared" si="14"/>
        <v>350000</v>
      </c>
      <c r="Q42" s="10"/>
    </row>
    <row r="43" spans="1:18" s="92" customFormat="1" ht="30" customHeight="1">
      <c r="A43" s="89"/>
      <c r="B43" s="90">
        <v>3000</v>
      </c>
      <c r="C43" s="90"/>
      <c r="D43" s="87" t="s">
        <v>57</v>
      </c>
      <c r="E43" s="91">
        <f>E49+E50+E44+E57+E60+E61+E58+E51+E53+E56</f>
        <v>4070554</v>
      </c>
      <c r="F43" s="91">
        <f t="shared" ref="F43:P43" si="15">F49+F50+F44+F57+F60+F61+F58+F51+F53+F56</f>
        <v>4070554</v>
      </c>
      <c r="G43" s="91">
        <f t="shared" si="15"/>
        <v>1967000</v>
      </c>
      <c r="H43" s="91">
        <f t="shared" si="15"/>
        <v>40000</v>
      </c>
      <c r="I43" s="91">
        <f t="shared" si="15"/>
        <v>0</v>
      </c>
      <c r="J43" s="91">
        <f t="shared" si="15"/>
        <v>2000</v>
      </c>
      <c r="K43" s="91">
        <f t="shared" si="15"/>
        <v>0</v>
      </c>
      <c r="L43" s="91">
        <f t="shared" si="15"/>
        <v>2000</v>
      </c>
      <c r="M43" s="91">
        <f t="shared" si="15"/>
        <v>0</v>
      </c>
      <c r="N43" s="91">
        <f t="shared" si="15"/>
        <v>0</v>
      </c>
      <c r="O43" s="91">
        <f t="shared" si="15"/>
        <v>0</v>
      </c>
      <c r="P43" s="91">
        <f t="shared" si="15"/>
        <v>4072554</v>
      </c>
      <c r="Q43" s="91" t="e">
        <f>#REF!+Q57+#REF!+Q58+Q51+Q53</f>
        <v>#REF!</v>
      </c>
      <c r="R43" s="91" t="e">
        <f>#REF!+R57+#REF!+R58+R51+R53</f>
        <v>#REF!</v>
      </c>
    </row>
    <row r="44" spans="1:18" s="13" customFormat="1" ht="23.45" customHeight="1">
      <c r="A44" s="14" t="s">
        <v>58</v>
      </c>
      <c r="B44" s="14" t="s">
        <v>59</v>
      </c>
      <c r="C44" s="14" t="s">
        <v>60</v>
      </c>
      <c r="D44" s="15" t="s">
        <v>61</v>
      </c>
      <c r="E44" s="8">
        <f t="shared" ref="E44:E57" si="16">F44</f>
        <v>18000</v>
      </c>
      <c r="F44" s="9">
        <v>18000</v>
      </c>
      <c r="G44" s="8">
        <v>0</v>
      </c>
      <c r="H44" s="8">
        <v>0</v>
      </c>
      <c r="I44" s="11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29">
        <f t="shared" ref="P44:P58" si="17">E44+J44</f>
        <v>18000</v>
      </c>
      <c r="Q44" s="10"/>
    </row>
    <row r="45" spans="1:18" s="13" customFormat="1" ht="15.75" customHeight="1">
      <c r="A45" s="138" t="s">
        <v>187</v>
      </c>
      <c r="B45" s="138" t="s">
        <v>12</v>
      </c>
      <c r="C45" s="138" t="s">
        <v>13</v>
      </c>
      <c r="D45" s="138" t="s">
        <v>14</v>
      </c>
      <c r="E45" s="139" t="s">
        <v>9</v>
      </c>
      <c r="F45" s="139"/>
      <c r="G45" s="139"/>
      <c r="H45" s="139"/>
      <c r="I45" s="139"/>
      <c r="J45" s="140" t="s">
        <v>2</v>
      </c>
      <c r="K45" s="140"/>
      <c r="L45" s="140"/>
      <c r="M45" s="140"/>
      <c r="N45" s="140"/>
      <c r="O45" s="140"/>
      <c r="P45" s="146" t="s">
        <v>15</v>
      </c>
      <c r="Q45" s="10"/>
    </row>
    <row r="46" spans="1:18" s="13" customFormat="1" ht="11.25">
      <c r="A46" s="138"/>
      <c r="B46" s="138"/>
      <c r="C46" s="138"/>
      <c r="D46" s="138"/>
      <c r="E46" s="140" t="s">
        <v>3</v>
      </c>
      <c r="F46" s="141" t="s">
        <v>16</v>
      </c>
      <c r="G46" s="138" t="s">
        <v>17</v>
      </c>
      <c r="H46" s="138"/>
      <c r="I46" s="142" t="s">
        <v>18</v>
      </c>
      <c r="J46" s="140" t="str">
        <f>E46</f>
        <v>усього</v>
      </c>
      <c r="K46" s="141" t="s">
        <v>19</v>
      </c>
      <c r="L46" s="141" t="s">
        <v>16</v>
      </c>
      <c r="M46" s="138" t="s">
        <v>17</v>
      </c>
      <c r="N46" s="138"/>
      <c r="O46" s="141" t="s">
        <v>18</v>
      </c>
      <c r="P46" s="146"/>
      <c r="Q46" s="10"/>
    </row>
    <row r="47" spans="1:18" s="13" customFormat="1" ht="108.75" customHeight="1">
      <c r="A47" s="138"/>
      <c r="B47" s="138"/>
      <c r="C47" s="138"/>
      <c r="D47" s="138"/>
      <c r="E47" s="140"/>
      <c r="F47" s="141"/>
      <c r="G47" s="137" t="s">
        <v>20</v>
      </c>
      <c r="H47" s="137" t="s">
        <v>21</v>
      </c>
      <c r="I47" s="142"/>
      <c r="J47" s="140"/>
      <c r="K47" s="141"/>
      <c r="L47" s="141"/>
      <c r="M47" s="137" t="s">
        <v>20</v>
      </c>
      <c r="N47" s="137" t="s">
        <v>21</v>
      </c>
      <c r="O47" s="141"/>
      <c r="P47" s="146"/>
      <c r="Q47" s="10"/>
    </row>
    <row r="48" spans="1:18" s="13" customFormat="1" ht="19.5" customHeight="1">
      <c r="A48" s="27">
        <v>1</v>
      </c>
      <c r="B48" s="43">
        <v>2</v>
      </c>
      <c r="C48" s="43">
        <v>3</v>
      </c>
      <c r="D48" s="27">
        <v>4</v>
      </c>
      <c r="E48" s="17">
        <v>5</v>
      </c>
      <c r="F48" s="44">
        <v>6</v>
      </c>
      <c r="G48" s="27">
        <v>7</v>
      </c>
      <c r="H48" s="72">
        <v>8</v>
      </c>
      <c r="I48" s="73">
        <v>9</v>
      </c>
      <c r="J48" s="72">
        <v>10</v>
      </c>
      <c r="K48" s="74">
        <v>11</v>
      </c>
      <c r="L48" s="74">
        <v>12</v>
      </c>
      <c r="M48" s="72">
        <v>13</v>
      </c>
      <c r="N48" s="72">
        <v>14</v>
      </c>
      <c r="O48" s="74">
        <v>15</v>
      </c>
      <c r="P48" s="75">
        <v>16</v>
      </c>
      <c r="Q48" s="10"/>
    </row>
    <row r="49" spans="1:17" s="13" customFormat="1" ht="34.5" customHeight="1">
      <c r="A49" s="14" t="s">
        <v>62</v>
      </c>
      <c r="B49" s="14" t="s">
        <v>63</v>
      </c>
      <c r="C49" s="14" t="s">
        <v>60</v>
      </c>
      <c r="D49" s="15" t="s">
        <v>64</v>
      </c>
      <c r="E49" s="8">
        <f t="shared" si="16"/>
        <v>210000</v>
      </c>
      <c r="F49" s="9">
        <f>200000+10000</f>
        <v>210000</v>
      </c>
      <c r="G49" s="8">
        <v>0</v>
      </c>
      <c r="H49" s="8">
        <v>0</v>
      </c>
      <c r="I49" s="11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29">
        <f t="shared" si="17"/>
        <v>210000</v>
      </c>
      <c r="Q49" s="10"/>
    </row>
    <row r="50" spans="1:17" s="13" customFormat="1" ht="48.75" customHeight="1">
      <c r="A50" s="14" t="s">
        <v>65</v>
      </c>
      <c r="B50" s="14" t="s">
        <v>66</v>
      </c>
      <c r="C50" s="14" t="s">
        <v>60</v>
      </c>
      <c r="D50" s="19" t="s">
        <v>67</v>
      </c>
      <c r="E50" s="8">
        <f t="shared" si="16"/>
        <v>70400</v>
      </c>
      <c r="F50" s="9">
        <v>70400</v>
      </c>
      <c r="G50" s="8">
        <v>0</v>
      </c>
      <c r="H50" s="8">
        <v>0</v>
      </c>
      <c r="I50" s="11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29">
        <f t="shared" si="17"/>
        <v>70400</v>
      </c>
      <c r="Q50" s="10"/>
    </row>
    <row r="51" spans="1:17" s="13" customFormat="1" ht="38.25" customHeight="1">
      <c r="A51" s="14" t="s">
        <v>68</v>
      </c>
      <c r="B51" s="14" t="s">
        <v>69</v>
      </c>
      <c r="C51" s="14" t="s">
        <v>60</v>
      </c>
      <c r="D51" s="19" t="s">
        <v>70</v>
      </c>
      <c r="E51" s="8">
        <f t="shared" si="16"/>
        <v>88088</v>
      </c>
      <c r="F51" s="76">
        <f>F52</f>
        <v>88088</v>
      </c>
      <c r="G51" s="8">
        <v>0</v>
      </c>
      <c r="H51" s="8">
        <v>0</v>
      </c>
      <c r="I51" s="11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29">
        <f t="shared" si="17"/>
        <v>88088</v>
      </c>
      <c r="Q51" s="10"/>
    </row>
    <row r="52" spans="1:17" s="13" customFormat="1" ht="33" customHeight="1">
      <c r="A52" s="14"/>
      <c r="B52" s="14"/>
      <c r="C52" s="14"/>
      <c r="D52" s="93" t="str">
        <f>D33</f>
        <v>в. т.ч.  за рахунок субвенції з інших місцевих бюджетів</v>
      </c>
      <c r="E52" s="8">
        <f t="shared" si="16"/>
        <v>88088</v>
      </c>
      <c r="F52" s="9">
        <v>88088</v>
      </c>
      <c r="G52" s="8">
        <v>0</v>
      </c>
      <c r="H52" s="8">
        <v>0</v>
      </c>
      <c r="I52" s="11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29">
        <f t="shared" si="17"/>
        <v>88088</v>
      </c>
      <c r="Q52" s="10"/>
    </row>
    <row r="53" spans="1:17" s="13" customFormat="1" ht="33" customHeight="1">
      <c r="A53" s="14" t="s">
        <v>71</v>
      </c>
      <c r="B53" s="14" t="s">
        <v>72</v>
      </c>
      <c r="C53" s="14" t="s">
        <v>60</v>
      </c>
      <c r="D53" s="19" t="s">
        <v>73</v>
      </c>
      <c r="E53" s="8">
        <f t="shared" si="16"/>
        <v>228436</v>
      </c>
      <c r="F53" s="76">
        <f>F55+F54</f>
        <v>228436</v>
      </c>
      <c r="G53" s="8">
        <v>0</v>
      </c>
      <c r="H53" s="8">
        <v>0</v>
      </c>
      <c r="I53" s="11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29">
        <f t="shared" si="17"/>
        <v>228436</v>
      </c>
      <c r="Q53" s="10"/>
    </row>
    <row r="54" spans="1:17" s="13" customFormat="1" ht="33" customHeight="1">
      <c r="A54" s="14"/>
      <c r="B54" s="14"/>
      <c r="C54" s="14"/>
      <c r="D54" s="7" t="s">
        <v>36</v>
      </c>
      <c r="E54" s="8">
        <f t="shared" si="16"/>
        <v>220000</v>
      </c>
      <c r="F54" s="9">
        <f>60000+60000+100000</f>
        <v>220000</v>
      </c>
      <c r="G54" s="8">
        <v>0</v>
      </c>
      <c r="H54" s="8">
        <v>0</v>
      </c>
      <c r="I54" s="11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29">
        <f t="shared" ref="P54" si="18">E54+J54</f>
        <v>220000</v>
      </c>
      <c r="Q54" s="10"/>
    </row>
    <row r="55" spans="1:17" s="13" customFormat="1" ht="27.75" customHeight="1">
      <c r="A55" s="14"/>
      <c r="B55" s="14"/>
      <c r="C55" s="14"/>
      <c r="D55" s="93" t="str">
        <f>D52</f>
        <v>в. т.ч.  за рахунок субвенції з інших місцевих бюджетів</v>
      </c>
      <c r="E55" s="8">
        <f t="shared" si="16"/>
        <v>8436</v>
      </c>
      <c r="F55" s="9">
        <v>8436</v>
      </c>
      <c r="G55" s="8">
        <v>0</v>
      </c>
      <c r="H55" s="8">
        <v>0</v>
      </c>
      <c r="I55" s="11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29">
        <f t="shared" si="17"/>
        <v>8436</v>
      </c>
      <c r="Q55" s="10"/>
    </row>
    <row r="56" spans="1:17" s="13" customFormat="1" ht="54" customHeight="1">
      <c r="A56" s="27">
        <v>213140</v>
      </c>
      <c r="B56" s="27">
        <v>3140</v>
      </c>
      <c r="C56" s="27">
        <v>1040</v>
      </c>
      <c r="D56" s="19" t="s">
        <v>175</v>
      </c>
      <c r="E56" s="8">
        <f>F56</f>
        <v>100000</v>
      </c>
      <c r="F56" s="9">
        <v>100000</v>
      </c>
      <c r="G56" s="8">
        <v>0</v>
      </c>
      <c r="H56" s="8">
        <v>0</v>
      </c>
      <c r="I56" s="11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29">
        <f t="shared" ref="P56" si="19">E56+J56</f>
        <v>100000</v>
      </c>
      <c r="Q56" s="10"/>
    </row>
    <row r="57" spans="1:17" s="13" customFormat="1" ht="59.1" customHeight="1">
      <c r="A57" s="27" t="s">
        <v>74</v>
      </c>
      <c r="B57" s="27" t="s">
        <v>75</v>
      </c>
      <c r="C57" s="27" t="s">
        <v>33</v>
      </c>
      <c r="D57" s="19" t="s">
        <v>76</v>
      </c>
      <c r="E57" s="5">
        <f t="shared" si="16"/>
        <v>317300</v>
      </c>
      <c r="F57" s="6">
        <f>500000-2700-100000-80000</f>
        <v>317300</v>
      </c>
      <c r="G57" s="94">
        <v>0</v>
      </c>
      <c r="H57" s="9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28">
        <f t="shared" si="17"/>
        <v>317300</v>
      </c>
      <c r="Q57" s="10"/>
    </row>
    <row r="58" spans="1:17" s="13" customFormat="1" ht="45" customHeight="1">
      <c r="A58" s="14" t="s">
        <v>77</v>
      </c>
      <c r="B58" s="27">
        <v>3171</v>
      </c>
      <c r="C58" s="27">
        <v>1010</v>
      </c>
      <c r="D58" s="19" t="s">
        <v>78</v>
      </c>
      <c r="E58" s="5">
        <f>E59</f>
        <v>5380</v>
      </c>
      <c r="F58" s="96">
        <f>F59</f>
        <v>5380</v>
      </c>
      <c r="G58" s="94">
        <v>0</v>
      </c>
      <c r="H58" s="9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28">
        <f t="shared" si="17"/>
        <v>5380</v>
      </c>
      <c r="Q58" s="10"/>
    </row>
    <row r="59" spans="1:17" s="80" customFormat="1" ht="33.75" customHeight="1">
      <c r="A59" s="44"/>
      <c r="B59" s="44"/>
      <c r="C59" s="44"/>
      <c r="D59" s="93" t="str">
        <f>D52</f>
        <v>в. т.ч.  за рахунок субвенції з інших місцевих бюджетів</v>
      </c>
      <c r="E59" s="97">
        <f t="shared" ref="E59:E63" si="20">F59</f>
        <v>5380</v>
      </c>
      <c r="F59" s="98">
        <f>4380+1000</f>
        <v>5380</v>
      </c>
      <c r="G59" s="94">
        <v>0</v>
      </c>
      <c r="H59" s="9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28">
        <f>E59+J59</f>
        <v>5380</v>
      </c>
      <c r="Q59" s="79"/>
    </row>
    <row r="60" spans="1:17" s="13" customFormat="1" ht="28.15" customHeight="1">
      <c r="A60" s="14" t="s">
        <v>79</v>
      </c>
      <c r="B60" s="27">
        <v>3241</v>
      </c>
      <c r="C60" s="99">
        <v>1090</v>
      </c>
      <c r="D60" s="15" t="s">
        <v>80</v>
      </c>
      <c r="E60" s="28">
        <f t="shared" si="20"/>
        <v>2602950</v>
      </c>
      <c r="F60" s="100">
        <f>2204950+278000+120000</f>
        <v>2602950</v>
      </c>
      <c r="G60" s="20">
        <f>1813000+54000+100000</f>
        <v>1967000</v>
      </c>
      <c r="H60" s="20">
        <f>30000+10000</f>
        <v>40000</v>
      </c>
      <c r="I60" s="31">
        <v>0</v>
      </c>
      <c r="J60" s="28">
        <f>L60</f>
        <v>2000</v>
      </c>
      <c r="K60" s="28">
        <v>0</v>
      </c>
      <c r="L60" s="20">
        <v>2000</v>
      </c>
      <c r="M60" s="28">
        <v>0</v>
      </c>
      <c r="N60" s="28">
        <v>0</v>
      </c>
      <c r="O60" s="28">
        <v>0</v>
      </c>
      <c r="P60" s="29">
        <f>E60+J60</f>
        <v>2604950</v>
      </c>
      <c r="Q60" s="10"/>
    </row>
    <row r="61" spans="1:17" s="13" customFormat="1" ht="25.5" customHeight="1">
      <c r="A61" s="14" t="s">
        <v>81</v>
      </c>
      <c r="B61" s="27">
        <v>3242</v>
      </c>
      <c r="C61" s="27" t="s">
        <v>82</v>
      </c>
      <c r="D61" s="15" t="s">
        <v>83</v>
      </c>
      <c r="E61" s="28">
        <f t="shared" si="20"/>
        <v>430000</v>
      </c>
      <c r="F61" s="28">
        <f>F62+F63</f>
        <v>430000</v>
      </c>
      <c r="G61" s="28">
        <v>0</v>
      </c>
      <c r="H61" s="28">
        <v>0</v>
      </c>
      <c r="I61" s="31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9">
        <f>E61+J61</f>
        <v>430000</v>
      </c>
      <c r="Q61" s="10"/>
    </row>
    <row r="62" spans="1:17" s="13" customFormat="1" ht="25.5" customHeight="1">
      <c r="A62" s="14"/>
      <c r="B62" s="27"/>
      <c r="C62" s="27"/>
      <c r="D62" s="7" t="s">
        <v>36</v>
      </c>
      <c r="E62" s="97">
        <f t="shared" si="20"/>
        <v>260000</v>
      </c>
      <c r="F62" s="20">
        <f>50000+30000+50000+130000</f>
        <v>260000</v>
      </c>
      <c r="G62" s="83"/>
      <c r="H62" s="101"/>
      <c r="I62" s="31"/>
      <c r="J62" s="28"/>
      <c r="K62" s="28"/>
      <c r="L62" s="28"/>
      <c r="M62" s="28"/>
      <c r="N62" s="28"/>
      <c r="O62" s="28"/>
      <c r="P62" s="29"/>
      <c r="Q62" s="10"/>
    </row>
    <row r="63" spans="1:17" s="80" customFormat="1" ht="33.75" customHeight="1">
      <c r="A63" s="44"/>
      <c r="B63" s="44"/>
      <c r="C63" s="44"/>
      <c r="D63" s="93" t="str">
        <f>D55</f>
        <v>в. т.ч.  за рахунок субвенції з інших місцевих бюджетів</v>
      </c>
      <c r="E63" s="97">
        <f t="shared" si="20"/>
        <v>170000</v>
      </c>
      <c r="F63" s="98">
        <f>50000+50000+70000</f>
        <v>170000</v>
      </c>
      <c r="G63" s="94">
        <v>0</v>
      </c>
      <c r="H63" s="9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28">
        <f>E63+J63</f>
        <v>170000</v>
      </c>
      <c r="Q63" s="79"/>
    </row>
    <row r="64" spans="1:17" s="13" customFormat="1" ht="15.75" customHeight="1">
      <c r="A64" s="138" t="s">
        <v>187</v>
      </c>
      <c r="B64" s="138" t="s">
        <v>12</v>
      </c>
      <c r="C64" s="138" t="s">
        <v>13</v>
      </c>
      <c r="D64" s="138" t="s">
        <v>14</v>
      </c>
      <c r="E64" s="139" t="s">
        <v>9</v>
      </c>
      <c r="F64" s="139"/>
      <c r="G64" s="139"/>
      <c r="H64" s="139"/>
      <c r="I64" s="139"/>
      <c r="J64" s="140" t="s">
        <v>2</v>
      </c>
      <c r="K64" s="140"/>
      <c r="L64" s="140"/>
      <c r="M64" s="140"/>
      <c r="N64" s="140"/>
      <c r="O64" s="140"/>
      <c r="P64" s="146" t="s">
        <v>15</v>
      </c>
      <c r="Q64" s="10"/>
    </row>
    <row r="65" spans="1:18" s="13" customFormat="1" ht="11.25">
      <c r="A65" s="138"/>
      <c r="B65" s="138"/>
      <c r="C65" s="138"/>
      <c r="D65" s="138"/>
      <c r="E65" s="140" t="s">
        <v>3</v>
      </c>
      <c r="F65" s="141" t="s">
        <v>16</v>
      </c>
      <c r="G65" s="138" t="s">
        <v>17</v>
      </c>
      <c r="H65" s="138"/>
      <c r="I65" s="142" t="s">
        <v>18</v>
      </c>
      <c r="J65" s="140" t="str">
        <f>E65</f>
        <v>усього</v>
      </c>
      <c r="K65" s="141" t="s">
        <v>19</v>
      </c>
      <c r="L65" s="141" t="s">
        <v>16</v>
      </c>
      <c r="M65" s="138" t="s">
        <v>17</v>
      </c>
      <c r="N65" s="138"/>
      <c r="O65" s="141" t="s">
        <v>18</v>
      </c>
      <c r="P65" s="146"/>
      <c r="Q65" s="10"/>
    </row>
    <row r="66" spans="1:18" s="13" customFormat="1" ht="108.75" customHeight="1">
      <c r="A66" s="138"/>
      <c r="B66" s="138"/>
      <c r="C66" s="138"/>
      <c r="D66" s="138"/>
      <c r="E66" s="140"/>
      <c r="F66" s="141"/>
      <c r="G66" s="137" t="s">
        <v>20</v>
      </c>
      <c r="H66" s="137" t="s">
        <v>21</v>
      </c>
      <c r="I66" s="142"/>
      <c r="J66" s="140"/>
      <c r="K66" s="141"/>
      <c r="L66" s="141"/>
      <c r="M66" s="137" t="s">
        <v>20</v>
      </c>
      <c r="N66" s="137" t="s">
        <v>21</v>
      </c>
      <c r="O66" s="141"/>
      <c r="P66" s="146"/>
      <c r="Q66" s="10"/>
    </row>
    <row r="67" spans="1:18" s="13" customFormat="1" ht="19.5" customHeight="1">
      <c r="A67" s="27">
        <v>1</v>
      </c>
      <c r="B67" s="43">
        <v>2</v>
      </c>
      <c r="C67" s="43">
        <v>3</v>
      </c>
      <c r="D67" s="27">
        <v>4</v>
      </c>
      <c r="E67" s="17">
        <v>5</v>
      </c>
      <c r="F67" s="44">
        <v>6</v>
      </c>
      <c r="G67" s="27">
        <v>7</v>
      </c>
      <c r="H67" s="72">
        <v>8</v>
      </c>
      <c r="I67" s="73">
        <v>9</v>
      </c>
      <c r="J67" s="72">
        <v>10</v>
      </c>
      <c r="K67" s="74">
        <v>11</v>
      </c>
      <c r="L67" s="74">
        <v>12</v>
      </c>
      <c r="M67" s="72">
        <v>13</v>
      </c>
      <c r="N67" s="72">
        <v>14</v>
      </c>
      <c r="O67" s="74">
        <v>15</v>
      </c>
      <c r="P67" s="75">
        <v>16</v>
      </c>
      <c r="Q67" s="10"/>
    </row>
    <row r="68" spans="1:18" s="13" customFormat="1" ht="18" customHeight="1">
      <c r="A68" s="16"/>
      <c r="B68" s="17">
        <v>4000</v>
      </c>
      <c r="C68" s="17"/>
      <c r="D68" s="18" t="s">
        <v>84</v>
      </c>
      <c r="E68" s="57">
        <f t="shared" ref="E68:P68" si="21">E69+E70+E71</f>
        <v>4812700</v>
      </c>
      <c r="F68" s="57">
        <f t="shared" si="21"/>
        <v>4812700</v>
      </c>
      <c r="G68" s="57">
        <f t="shared" si="21"/>
        <v>2285000</v>
      </c>
      <c r="H68" s="57">
        <f t="shared" si="21"/>
        <v>1733250</v>
      </c>
      <c r="I68" s="57">
        <f t="shared" si="21"/>
        <v>0</v>
      </c>
      <c r="J68" s="57">
        <f t="shared" si="21"/>
        <v>1321000</v>
      </c>
      <c r="K68" s="57">
        <f t="shared" si="21"/>
        <v>1275000</v>
      </c>
      <c r="L68" s="57">
        <f t="shared" si="21"/>
        <v>46000</v>
      </c>
      <c r="M68" s="57">
        <f t="shared" si="21"/>
        <v>1000</v>
      </c>
      <c r="N68" s="57">
        <f t="shared" si="21"/>
        <v>0</v>
      </c>
      <c r="O68" s="57">
        <f t="shared" si="21"/>
        <v>1275000</v>
      </c>
      <c r="P68" s="57">
        <f t="shared" si="21"/>
        <v>6133700</v>
      </c>
      <c r="Q68" s="10"/>
    </row>
    <row r="69" spans="1:18" s="13" customFormat="1" ht="20.45" customHeight="1">
      <c r="A69" s="14" t="s">
        <v>85</v>
      </c>
      <c r="B69" s="27">
        <v>4030</v>
      </c>
      <c r="C69" s="14" t="s">
        <v>86</v>
      </c>
      <c r="D69" s="15" t="s">
        <v>87</v>
      </c>
      <c r="E69" s="28">
        <f>F69</f>
        <v>428450</v>
      </c>
      <c r="F69" s="20">
        <f>394200+34250</f>
        <v>428450</v>
      </c>
      <c r="G69" s="20">
        <f>260000+35000</f>
        <v>295000</v>
      </c>
      <c r="H69" s="20">
        <f>3000+35000+35000-2750</f>
        <v>70250</v>
      </c>
      <c r="I69" s="31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9">
        <f>E69+J69</f>
        <v>428450</v>
      </c>
      <c r="Q69" s="10"/>
    </row>
    <row r="70" spans="1:18" s="13" customFormat="1" ht="25.5" customHeight="1">
      <c r="A70" s="14" t="s">
        <v>88</v>
      </c>
      <c r="B70" s="27">
        <v>4060</v>
      </c>
      <c r="C70" s="14" t="s">
        <v>89</v>
      </c>
      <c r="D70" s="15" t="s">
        <v>90</v>
      </c>
      <c r="E70" s="28">
        <f>F70</f>
        <v>4362250</v>
      </c>
      <c r="F70" s="20">
        <f>3412500+294000+300000+610000-910000+190000+500000-34250</f>
        <v>4362250</v>
      </c>
      <c r="G70" s="20">
        <f>1875000+150000-35000</f>
        <v>1990000</v>
      </c>
      <c r="H70" s="20">
        <f>1025000+150000+500000-12000</f>
        <v>1663000</v>
      </c>
      <c r="I70" s="31">
        <v>0</v>
      </c>
      <c r="J70" s="28">
        <f>L70+K70</f>
        <v>1321000</v>
      </c>
      <c r="K70" s="20">
        <f>910000+300000+65000</f>
        <v>1275000</v>
      </c>
      <c r="L70" s="20">
        <v>46000</v>
      </c>
      <c r="M70" s="20">
        <v>1000</v>
      </c>
      <c r="N70" s="28">
        <v>0</v>
      </c>
      <c r="O70" s="28">
        <f>K70</f>
        <v>1275000</v>
      </c>
      <c r="P70" s="29">
        <f>E70+J70</f>
        <v>5683250</v>
      </c>
      <c r="Q70" s="10"/>
    </row>
    <row r="71" spans="1:18" s="13" customFormat="1" ht="25.5" customHeight="1">
      <c r="A71" s="14" t="s">
        <v>91</v>
      </c>
      <c r="B71" s="27">
        <v>4082</v>
      </c>
      <c r="C71" s="14" t="s">
        <v>92</v>
      </c>
      <c r="D71" s="15" t="s">
        <v>93</v>
      </c>
      <c r="E71" s="28">
        <f>F71</f>
        <v>22000</v>
      </c>
      <c r="F71" s="20">
        <f>2000+20000</f>
        <v>22000</v>
      </c>
      <c r="G71" s="28">
        <v>0</v>
      </c>
      <c r="H71" s="28">
        <v>0</v>
      </c>
      <c r="I71" s="31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9">
        <f>E71+J71</f>
        <v>22000</v>
      </c>
      <c r="Q71" s="10"/>
    </row>
    <row r="72" spans="1:18" s="13" customFormat="1" ht="17.25" hidden="1" customHeight="1">
      <c r="A72" s="16"/>
      <c r="B72" s="17">
        <v>5000</v>
      </c>
      <c r="C72" s="16"/>
      <c r="D72" s="18" t="s">
        <v>94</v>
      </c>
      <c r="E72" s="57">
        <f>E74+E73</f>
        <v>0</v>
      </c>
      <c r="F72" s="57">
        <f t="shared" ref="F72:P72" si="22">F74+F73</f>
        <v>0</v>
      </c>
      <c r="G72" s="57">
        <f t="shared" si="22"/>
        <v>0</v>
      </c>
      <c r="H72" s="57">
        <f t="shared" si="22"/>
        <v>0</v>
      </c>
      <c r="I72" s="57">
        <f t="shared" si="22"/>
        <v>0</v>
      </c>
      <c r="J72" s="57">
        <f t="shared" si="22"/>
        <v>0</v>
      </c>
      <c r="K72" s="57">
        <f t="shared" si="22"/>
        <v>0</v>
      </c>
      <c r="L72" s="57">
        <f t="shared" si="22"/>
        <v>0</v>
      </c>
      <c r="M72" s="57">
        <f t="shared" si="22"/>
        <v>0</v>
      </c>
      <c r="N72" s="57">
        <f t="shared" si="22"/>
        <v>0</v>
      </c>
      <c r="O72" s="57">
        <f t="shared" si="22"/>
        <v>0</v>
      </c>
      <c r="P72" s="57">
        <f t="shared" si="22"/>
        <v>0</v>
      </c>
      <c r="Q72" s="10"/>
    </row>
    <row r="73" spans="1:18" s="13" customFormat="1" ht="45" hidden="1">
      <c r="A73" s="14" t="s">
        <v>163</v>
      </c>
      <c r="B73" s="27">
        <v>5061</v>
      </c>
      <c r="C73" s="102" t="s">
        <v>96</v>
      </c>
      <c r="D73" s="15" t="s">
        <v>164</v>
      </c>
      <c r="E73" s="28">
        <f>F73</f>
        <v>0</v>
      </c>
      <c r="F73" s="20"/>
      <c r="G73" s="28">
        <v>0</v>
      </c>
      <c r="H73" s="28">
        <v>0</v>
      </c>
      <c r="I73" s="31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9">
        <f>E73+J73</f>
        <v>0</v>
      </c>
      <c r="Q73" s="10"/>
    </row>
    <row r="74" spans="1:18" s="13" customFormat="1" ht="34.5" hidden="1" customHeight="1">
      <c r="A74" s="14" t="s">
        <v>95</v>
      </c>
      <c r="B74" s="27">
        <v>5062</v>
      </c>
      <c r="C74" s="102" t="s">
        <v>96</v>
      </c>
      <c r="D74" s="15" t="s">
        <v>97</v>
      </c>
      <c r="E74" s="28">
        <f>F74</f>
        <v>0</v>
      </c>
      <c r="F74" s="20">
        <v>0</v>
      </c>
      <c r="G74" s="28">
        <v>0</v>
      </c>
      <c r="H74" s="28">
        <v>0</v>
      </c>
      <c r="I74" s="31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9">
        <f>E74+J74</f>
        <v>0</v>
      </c>
      <c r="Q74" s="10"/>
    </row>
    <row r="75" spans="1:18" s="13" customFormat="1" ht="20.45" customHeight="1">
      <c r="A75" s="103"/>
      <c r="B75" s="17">
        <v>6000</v>
      </c>
      <c r="C75" s="55"/>
      <c r="D75" s="18" t="s">
        <v>98</v>
      </c>
      <c r="E75" s="57">
        <f t="shared" ref="E75:P75" si="23">E76+E77</f>
        <v>5324010</v>
      </c>
      <c r="F75" s="57">
        <f t="shared" si="23"/>
        <v>5324010</v>
      </c>
      <c r="G75" s="57">
        <f t="shared" si="23"/>
        <v>10000</v>
      </c>
      <c r="H75" s="57">
        <f t="shared" si="23"/>
        <v>1179910</v>
      </c>
      <c r="I75" s="57">
        <f t="shared" si="23"/>
        <v>0</v>
      </c>
      <c r="J75" s="57">
        <f t="shared" si="23"/>
        <v>0</v>
      </c>
      <c r="K75" s="57">
        <f t="shared" si="23"/>
        <v>0</v>
      </c>
      <c r="L75" s="57">
        <f t="shared" si="23"/>
        <v>0</v>
      </c>
      <c r="M75" s="57">
        <f t="shared" si="23"/>
        <v>0</v>
      </c>
      <c r="N75" s="57">
        <f t="shared" si="23"/>
        <v>0</v>
      </c>
      <c r="O75" s="57">
        <f t="shared" si="23"/>
        <v>0</v>
      </c>
      <c r="P75" s="57">
        <f t="shared" si="23"/>
        <v>5324010</v>
      </c>
      <c r="Q75" s="10"/>
    </row>
    <row r="76" spans="1:18" s="13" customFormat="1" ht="25.5" customHeight="1">
      <c r="A76" s="14" t="s">
        <v>99</v>
      </c>
      <c r="B76" s="14" t="s">
        <v>100</v>
      </c>
      <c r="C76" s="102" t="s">
        <v>101</v>
      </c>
      <c r="D76" s="15" t="s">
        <v>102</v>
      </c>
      <c r="E76" s="28">
        <f>F76</f>
        <v>3322500</v>
      </c>
      <c r="F76" s="20">
        <f>600000+2600000+40000+25000+57500</f>
        <v>3322500</v>
      </c>
      <c r="G76" s="28">
        <v>0</v>
      </c>
      <c r="H76" s="28">
        <v>0</v>
      </c>
      <c r="I76" s="31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9">
        <f>E76+J76</f>
        <v>3322500</v>
      </c>
      <c r="Q76" s="104"/>
      <c r="R76" s="104"/>
    </row>
    <row r="77" spans="1:18" s="13" customFormat="1" ht="25.5" customHeight="1">
      <c r="A77" s="14" t="s">
        <v>103</v>
      </c>
      <c r="B77" s="14" t="s">
        <v>104</v>
      </c>
      <c r="C77" s="14" t="s">
        <v>101</v>
      </c>
      <c r="D77" s="15" t="s">
        <v>105</v>
      </c>
      <c r="E77" s="28">
        <f>F77</f>
        <v>2001510</v>
      </c>
      <c r="F77" s="20">
        <f>1408000+200000+100000+12200+46000+300000-64690</f>
        <v>2001510</v>
      </c>
      <c r="G77" s="20">
        <f>10000</f>
        <v>10000</v>
      </c>
      <c r="H77" s="20">
        <f>1208000-28090</f>
        <v>1179910</v>
      </c>
      <c r="I77" s="31">
        <v>0</v>
      </c>
      <c r="J77" s="28">
        <f>K77</f>
        <v>0</v>
      </c>
      <c r="K77" s="28">
        <v>0</v>
      </c>
      <c r="L77" s="28">
        <v>0</v>
      </c>
      <c r="M77" s="28">
        <v>0</v>
      </c>
      <c r="N77" s="28">
        <v>0</v>
      </c>
      <c r="O77" s="28">
        <f>K77</f>
        <v>0</v>
      </c>
      <c r="P77" s="29">
        <f>E77+J77</f>
        <v>2001510</v>
      </c>
      <c r="Q77" s="10"/>
    </row>
    <row r="78" spans="1:18" s="106" customFormat="1" ht="25.5" customHeight="1">
      <c r="A78" s="16"/>
      <c r="B78" s="16" t="s">
        <v>155</v>
      </c>
      <c r="C78" s="16"/>
      <c r="D78" s="18" t="s">
        <v>156</v>
      </c>
      <c r="E78" s="57">
        <f>SUM(E79:E86)</f>
        <v>2052000</v>
      </c>
      <c r="F78" s="57">
        <f t="shared" ref="F78:P78" si="24">SUM(F79:F86)</f>
        <v>2052000</v>
      </c>
      <c r="G78" s="57">
        <f t="shared" si="24"/>
        <v>0</v>
      </c>
      <c r="H78" s="57">
        <f t="shared" si="24"/>
        <v>0</v>
      </c>
      <c r="I78" s="57">
        <f t="shared" si="24"/>
        <v>0</v>
      </c>
      <c r="J78" s="57">
        <f t="shared" si="24"/>
        <v>6947640</v>
      </c>
      <c r="K78" s="57">
        <f t="shared" si="24"/>
        <v>6886640</v>
      </c>
      <c r="L78" s="57">
        <f t="shared" si="24"/>
        <v>61000</v>
      </c>
      <c r="M78" s="57">
        <f t="shared" si="24"/>
        <v>0</v>
      </c>
      <c r="N78" s="57">
        <f t="shared" si="24"/>
        <v>0</v>
      </c>
      <c r="O78" s="57">
        <f t="shared" si="24"/>
        <v>6886640</v>
      </c>
      <c r="P78" s="57">
        <f t="shared" si="24"/>
        <v>8999640</v>
      </c>
      <c r="Q78" s="105"/>
    </row>
    <row r="79" spans="1:18" s="13" customFormat="1" ht="24.75" customHeight="1">
      <c r="A79" s="14" t="s">
        <v>106</v>
      </c>
      <c r="B79" s="14" t="s">
        <v>107</v>
      </c>
      <c r="C79" s="14" t="s">
        <v>108</v>
      </c>
      <c r="D79" s="15" t="s">
        <v>109</v>
      </c>
      <c r="E79" s="28">
        <f>F79</f>
        <v>500000</v>
      </c>
      <c r="F79" s="20">
        <f>100000+150000-50000+300000</f>
        <v>500000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f t="shared" ref="P79:P86" si="25">E79+J79</f>
        <v>500000</v>
      </c>
      <c r="Q79" s="10"/>
    </row>
    <row r="80" spans="1:18" s="13" customFormat="1" ht="24.75" customHeight="1">
      <c r="A80" s="107" t="s">
        <v>180</v>
      </c>
      <c r="B80" s="107" t="s">
        <v>181</v>
      </c>
      <c r="C80" s="107" t="s">
        <v>151</v>
      </c>
      <c r="D80" s="108" t="s">
        <v>182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8">
        <f>K80</f>
        <v>2060130</v>
      </c>
      <c r="K80" s="109">
        <f>1570130+490000</f>
        <v>2060130</v>
      </c>
      <c r="L80" s="22">
        <v>0</v>
      </c>
      <c r="M80" s="22">
        <v>0</v>
      </c>
      <c r="N80" s="22">
        <v>0</v>
      </c>
      <c r="O80" s="28">
        <f>K80</f>
        <v>2060130</v>
      </c>
      <c r="P80" s="22">
        <f t="shared" ref="P80" si="26">E80+J80</f>
        <v>2060130</v>
      </c>
      <c r="Q80" s="10"/>
    </row>
    <row r="81" spans="1:1024" s="13" customFormat="1" ht="25.5" customHeight="1">
      <c r="A81" s="107" t="s">
        <v>177</v>
      </c>
      <c r="B81" s="107" t="s">
        <v>178</v>
      </c>
      <c r="C81" s="14" t="s">
        <v>151</v>
      </c>
      <c r="D81" s="15" t="s">
        <v>179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8">
        <f>K81</f>
        <v>18512</v>
      </c>
      <c r="K81" s="109">
        <f>18512</f>
        <v>18512</v>
      </c>
      <c r="L81" s="22">
        <v>0</v>
      </c>
      <c r="M81" s="22">
        <v>0</v>
      </c>
      <c r="N81" s="22">
        <v>0</v>
      </c>
      <c r="O81" s="28">
        <f>K81</f>
        <v>18512</v>
      </c>
      <c r="P81" s="22">
        <f t="shared" si="25"/>
        <v>18512</v>
      </c>
      <c r="Q81" s="10"/>
    </row>
    <row r="82" spans="1:1024" ht="30.75" customHeight="1">
      <c r="A82" s="14" t="s">
        <v>149</v>
      </c>
      <c r="B82" s="14" t="s">
        <v>150</v>
      </c>
      <c r="C82" s="14" t="s">
        <v>151</v>
      </c>
      <c r="D82" s="15" t="s">
        <v>152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f>K82</f>
        <v>1750000</v>
      </c>
      <c r="K82" s="110">
        <f>50000+2000000-300000</f>
        <v>1750000</v>
      </c>
      <c r="L82" s="28">
        <v>0</v>
      </c>
      <c r="M82" s="28">
        <v>0</v>
      </c>
      <c r="N82" s="28">
        <v>0</v>
      </c>
      <c r="O82" s="28">
        <f>K82</f>
        <v>1750000</v>
      </c>
      <c r="P82" s="28">
        <f t="shared" si="25"/>
        <v>1750000</v>
      </c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  <c r="JB82" s="23"/>
      <c r="JC82" s="23"/>
      <c r="JD82" s="23"/>
      <c r="JE82" s="23"/>
      <c r="JF82" s="23"/>
      <c r="JG82" s="23"/>
      <c r="JH82" s="23"/>
      <c r="JI82" s="23"/>
      <c r="JJ82" s="23"/>
      <c r="JK82" s="23"/>
      <c r="JL82" s="23"/>
      <c r="JM82" s="23"/>
      <c r="JN82" s="23"/>
      <c r="JO82" s="23"/>
      <c r="JP82" s="23"/>
      <c r="JQ82" s="23"/>
      <c r="JR82" s="23"/>
      <c r="JS82" s="23"/>
      <c r="JT82" s="23"/>
      <c r="JU82" s="23"/>
      <c r="JV82" s="23"/>
      <c r="JW82" s="23"/>
      <c r="JX82" s="23"/>
      <c r="JY82" s="23"/>
      <c r="JZ82" s="23"/>
      <c r="KA82" s="23"/>
      <c r="KB82" s="23"/>
      <c r="KC82" s="23"/>
      <c r="KD82" s="23"/>
      <c r="KE82" s="23"/>
      <c r="KF82" s="23"/>
      <c r="KG82" s="23"/>
      <c r="KH82" s="23"/>
      <c r="KI82" s="23"/>
      <c r="KJ82" s="23"/>
      <c r="KK82" s="23"/>
      <c r="KL82" s="23"/>
      <c r="KM82" s="23"/>
      <c r="KN82" s="23"/>
      <c r="KO82" s="23"/>
      <c r="KP82" s="23"/>
      <c r="KQ82" s="23"/>
      <c r="KR82" s="23"/>
      <c r="KS82" s="23"/>
      <c r="KT82" s="23"/>
      <c r="KU82" s="23"/>
      <c r="KV82" s="23"/>
      <c r="KW82" s="23"/>
      <c r="KX82" s="23"/>
      <c r="KY82" s="23"/>
      <c r="KZ82" s="23"/>
      <c r="LA82" s="23"/>
      <c r="LB82" s="23"/>
      <c r="LC82" s="23"/>
      <c r="LD82" s="23"/>
      <c r="LE82" s="23"/>
      <c r="LF82" s="23"/>
      <c r="LG82" s="23"/>
      <c r="LH82" s="23"/>
      <c r="LI82" s="23"/>
      <c r="LJ82" s="23"/>
      <c r="LK82" s="23"/>
      <c r="LL82" s="23"/>
      <c r="LM82" s="23"/>
      <c r="LN82" s="23"/>
      <c r="LO82" s="23"/>
      <c r="LP82" s="23"/>
      <c r="LQ82" s="23"/>
      <c r="LR82" s="23"/>
      <c r="LS82" s="23"/>
      <c r="LT82" s="23"/>
      <c r="LU82" s="23"/>
      <c r="LV82" s="23"/>
      <c r="LW82" s="23"/>
      <c r="LX82" s="23"/>
      <c r="LY82" s="23"/>
      <c r="LZ82" s="23"/>
      <c r="MA82" s="23"/>
      <c r="MB82" s="23"/>
      <c r="MC82" s="23"/>
      <c r="MD82" s="23"/>
      <c r="ME82" s="23"/>
      <c r="MF82" s="23"/>
      <c r="MG82" s="23"/>
      <c r="MH82" s="23"/>
      <c r="MI82" s="23"/>
      <c r="MJ82" s="23"/>
      <c r="MK82" s="23"/>
      <c r="ML82" s="23"/>
      <c r="MM82" s="23"/>
      <c r="MN82" s="23"/>
      <c r="MO82" s="23"/>
      <c r="MP82" s="23"/>
      <c r="MQ82" s="23"/>
      <c r="MR82" s="23"/>
      <c r="MS82" s="23"/>
      <c r="MT82" s="23"/>
      <c r="MU82" s="23"/>
      <c r="MV82" s="23"/>
      <c r="MW82" s="23"/>
      <c r="MX82" s="23"/>
      <c r="MY82" s="23"/>
      <c r="MZ82" s="23"/>
      <c r="NA82" s="23"/>
      <c r="NB82" s="23"/>
      <c r="NC82" s="23"/>
      <c r="ND82" s="23"/>
      <c r="NE82" s="23"/>
      <c r="NF82" s="23"/>
      <c r="NG82" s="23"/>
      <c r="NH82" s="23"/>
      <c r="NI82" s="23"/>
      <c r="NJ82" s="23"/>
      <c r="NK82" s="23"/>
      <c r="NL82" s="23"/>
      <c r="NM82" s="23"/>
      <c r="NN82" s="23"/>
      <c r="NO82" s="23"/>
      <c r="NP82" s="23"/>
      <c r="NQ82" s="23"/>
      <c r="NR82" s="23"/>
      <c r="NS82" s="23"/>
      <c r="NT82" s="23"/>
      <c r="NU82" s="23"/>
      <c r="NV82" s="23"/>
      <c r="NW82" s="23"/>
      <c r="NX82" s="23"/>
      <c r="NY82" s="23"/>
      <c r="NZ82" s="23"/>
      <c r="OA82" s="23"/>
      <c r="OB82" s="23"/>
      <c r="OC82" s="23"/>
      <c r="OD82" s="23"/>
      <c r="OE82" s="23"/>
      <c r="OF82" s="23"/>
      <c r="OG82" s="23"/>
      <c r="OH82" s="23"/>
      <c r="OI82" s="23"/>
      <c r="OJ82" s="23"/>
      <c r="OK82" s="23"/>
      <c r="OL82" s="23"/>
      <c r="OM82" s="23"/>
      <c r="ON82" s="23"/>
      <c r="OO82" s="23"/>
      <c r="OP82" s="23"/>
      <c r="OQ82" s="23"/>
      <c r="OR82" s="23"/>
      <c r="OS82" s="23"/>
      <c r="OT82" s="23"/>
      <c r="OU82" s="23"/>
      <c r="OV82" s="23"/>
      <c r="OW82" s="23"/>
      <c r="OX82" s="23"/>
      <c r="OY82" s="23"/>
      <c r="OZ82" s="23"/>
      <c r="PA82" s="23"/>
      <c r="PB82" s="23"/>
      <c r="PC82" s="23"/>
      <c r="PD82" s="23"/>
      <c r="PE82" s="23"/>
      <c r="PF82" s="23"/>
      <c r="PG82" s="23"/>
      <c r="PH82" s="23"/>
      <c r="PI82" s="23"/>
      <c r="PJ82" s="23"/>
      <c r="PK82" s="23"/>
      <c r="PL82" s="23"/>
      <c r="PM82" s="23"/>
      <c r="PN82" s="23"/>
      <c r="PO82" s="23"/>
      <c r="PP82" s="23"/>
      <c r="PQ82" s="23"/>
      <c r="PR82" s="23"/>
      <c r="PS82" s="23"/>
      <c r="PT82" s="23"/>
      <c r="PU82" s="23"/>
      <c r="PV82" s="23"/>
      <c r="PW82" s="23"/>
      <c r="PX82" s="23"/>
      <c r="PY82" s="23"/>
      <c r="PZ82" s="23"/>
      <c r="QA82" s="23"/>
      <c r="QB82" s="23"/>
      <c r="QC82" s="23"/>
      <c r="QD82" s="23"/>
      <c r="QE82" s="23"/>
      <c r="QF82" s="23"/>
      <c r="QG82" s="23"/>
      <c r="QH82" s="23"/>
      <c r="QI82" s="23"/>
      <c r="QJ82" s="23"/>
      <c r="QK82" s="23"/>
      <c r="QL82" s="23"/>
      <c r="QM82" s="23"/>
      <c r="QN82" s="23"/>
      <c r="QO82" s="23"/>
      <c r="QP82" s="23"/>
      <c r="QQ82" s="23"/>
      <c r="QR82" s="23"/>
      <c r="QS82" s="23"/>
      <c r="QT82" s="23"/>
      <c r="QU82" s="23"/>
      <c r="QV82" s="23"/>
      <c r="QW82" s="23"/>
      <c r="QX82" s="23"/>
      <c r="QY82" s="23"/>
      <c r="QZ82" s="23"/>
      <c r="RA82" s="23"/>
      <c r="RB82" s="23"/>
      <c r="RC82" s="23"/>
      <c r="RD82" s="23"/>
      <c r="RE82" s="23"/>
      <c r="RF82" s="23"/>
      <c r="RG82" s="23"/>
      <c r="RH82" s="23"/>
      <c r="RI82" s="23"/>
      <c r="RJ82" s="23"/>
      <c r="RK82" s="23"/>
      <c r="RL82" s="23"/>
      <c r="RM82" s="23"/>
      <c r="RN82" s="23"/>
      <c r="RO82" s="23"/>
      <c r="RP82" s="23"/>
      <c r="RQ82" s="23"/>
      <c r="RR82" s="23"/>
      <c r="RS82" s="23"/>
      <c r="RT82" s="23"/>
      <c r="RU82" s="23"/>
      <c r="RV82" s="23"/>
      <c r="RW82" s="23"/>
      <c r="RX82" s="23"/>
      <c r="RY82" s="23"/>
      <c r="RZ82" s="23"/>
      <c r="SA82" s="23"/>
      <c r="SB82" s="23"/>
      <c r="SC82" s="23"/>
      <c r="SD82" s="23"/>
      <c r="SE82" s="23"/>
      <c r="SF82" s="23"/>
      <c r="SG82" s="23"/>
      <c r="SH82" s="23"/>
      <c r="SI82" s="23"/>
      <c r="SJ82" s="23"/>
      <c r="SK82" s="23"/>
      <c r="SL82" s="23"/>
      <c r="SM82" s="23"/>
      <c r="SN82" s="23"/>
      <c r="SO82" s="23"/>
      <c r="SP82" s="23"/>
      <c r="SQ82" s="23"/>
      <c r="SR82" s="23"/>
      <c r="SS82" s="23"/>
      <c r="ST82" s="23"/>
      <c r="SU82" s="23"/>
      <c r="SV82" s="23"/>
      <c r="SW82" s="23"/>
      <c r="SX82" s="23"/>
      <c r="SY82" s="23"/>
      <c r="SZ82" s="23"/>
      <c r="TA82" s="23"/>
      <c r="TB82" s="23"/>
      <c r="TC82" s="23"/>
      <c r="TD82" s="23"/>
      <c r="TE82" s="23"/>
      <c r="TF82" s="23"/>
      <c r="TG82" s="23"/>
      <c r="TH82" s="23"/>
      <c r="TI82" s="23"/>
      <c r="TJ82" s="23"/>
      <c r="TK82" s="23"/>
      <c r="TL82" s="23"/>
      <c r="TM82" s="23"/>
      <c r="TN82" s="23"/>
      <c r="TO82" s="23"/>
      <c r="TP82" s="23"/>
      <c r="TQ82" s="23"/>
      <c r="TR82" s="23"/>
      <c r="TS82" s="23"/>
      <c r="TT82" s="23"/>
      <c r="TU82" s="23"/>
      <c r="TV82" s="23"/>
      <c r="TW82" s="23"/>
      <c r="TX82" s="23"/>
      <c r="TY82" s="23"/>
      <c r="TZ82" s="23"/>
      <c r="UA82" s="23"/>
      <c r="UB82" s="23"/>
      <c r="UC82" s="23"/>
      <c r="UD82" s="23"/>
      <c r="UE82" s="23"/>
      <c r="UF82" s="23"/>
      <c r="UG82" s="23"/>
      <c r="UH82" s="23"/>
      <c r="UI82" s="23"/>
      <c r="UJ82" s="23"/>
      <c r="UK82" s="23"/>
      <c r="UL82" s="23"/>
      <c r="UM82" s="23"/>
      <c r="UN82" s="23"/>
      <c r="UO82" s="23"/>
      <c r="UP82" s="23"/>
      <c r="UQ82" s="23"/>
      <c r="UR82" s="23"/>
      <c r="US82" s="23"/>
      <c r="UT82" s="23"/>
      <c r="UU82" s="23"/>
      <c r="UV82" s="23"/>
      <c r="UW82" s="23"/>
      <c r="UX82" s="23"/>
      <c r="UY82" s="23"/>
      <c r="UZ82" s="23"/>
      <c r="VA82" s="23"/>
      <c r="VB82" s="23"/>
      <c r="VC82" s="23"/>
      <c r="VD82" s="23"/>
      <c r="VE82" s="23"/>
      <c r="VF82" s="23"/>
      <c r="VG82" s="23"/>
      <c r="VH82" s="23"/>
      <c r="VI82" s="23"/>
      <c r="VJ82" s="23"/>
      <c r="VK82" s="23"/>
      <c r="VL82" s="23"/>
      <c r="VM82" s="23"/>
      <c r="VN82" s="23"/>
      <c r="VO82" s="23"/>
      <c r="VP82" s="23"/>
      <c r="VQ82" s="23"/>
      <c r="VR82" s="23"/>
      <c r="VS82" s="23"/>
      <c r="VT82" s="23"/>
      <c r="VU82" s="23"/>
      <c r="VV82" s="23"/>
      <c r="VW82" s="23"/>
      <c r="VX82" s="23"/>
      <c r="VY82" s="23"/>
      <c r="VZ82" s="23"/>
      <c r="WA82" s="23"/>
      <c r="WB82" s="23"/>
      <c r="WC82" s="23"/>
      <c r="WD82" s="23"/>
      <c r="WE82" s="23"/>
      <c r="WF82" s="23"/>
      <c r="WG82" s="23"/>
      <c r="WH82" s="23"/>
      <c r="WI82" s="23"/>
      <c r="WJ82" s="23"/>
      <c r="WK82" s="23"/>
      <c r="WL82" s="23"/>
      <c r="WM82" s="23"/>
      <c r="WN82" s="23"/>
      <c r="WO82" s="23"/>
      <c r="WP82" s="23"/>
      <c r="WQ82" s="23"/>
      <c r="WR82" s="23"/>
      <c r="WS82" s="23"/>
      <c r="WT82" s="23"/>
      <c r="WU82" s="23"/>
      <c r="WV82" s="23"/>
      <c r="WW82" s="23"/>
      <c r="WX82" s="23"/>
      <c r="WY82" s="23"/>
      <c r="WZ82" s="23"/>
      <c r="XA82" s="23"/>
      <c r="XB82" s="23"/>
      <c r="XC82" s="23"/>
      <c r="XD82" s="23"/>
      <c r="XE82" s="23"/>
      <c r="XF82" s="23"/>
      <c r="XG82" s="23"/>
      <c r="XH82" s="23"/>
      <c r="XI82" s="23"/>
      <c r="XJ82" s="23"/>
      <c r="XK82" s="23"/>
      <c r="XL82" s="23"/>
      <c r="XM82" s="23"/>
      <c r="XN82" s="23"/>
      <c r="XO82" s="23"/>
      <c r="XP82" s="23"/>
      <c r="XQ82" s="23"/>
      <c r="XR82" s="23"/>
      <c r="XS82" s="23"/>
      <c r="XT82" s="23"/>
      <c r="XU82" s="23"/>
      <c r="XV82" s="23"/>
      <c r="XW82" s="23"/>
      <c r="XX82" s="23"/>
      <c r="XY82" s="23"/>
      <c r="XZ82" s="23"/>
      <c r="YA82" s="23"/>
      <c r="YB82" s="23"/>
      <c r="YC82" s="23"/>
      <c r="YD82" s="23"/>
      <c r="YE82" s="23"/>
      <c r="YF82" s="23"/>
      <c r="YG82" s="23"/>
      <c r="YH82" s="23"/>
      <c r="YI82" s="23"/>
      <c r="YJ82" s="23"/>
      <c r="YK82" s="23"/>
      <c r="YL82" s="23"/>
      <c r="YM82" s="23"/>
      <c r="YN82" s="23"/>
      <c r="YO82" s="23"/>
      <c r="YP82" s="23"/>
      <c r="YQ82" s="23"/>
      <c r="YR82" s="23"/>
      <c r="YS82" s="23"/>
      <c r="YT82" s="23"/>
      <c r="YU82" s="23"/>
      <c r="YV82" s="23"/>
      <c r="YW82" s="23"/>
      <c r="YX82" s="23"/>
      <c r="YY82" s="23"/>
      <c r="YZ82" s="23"/>
      <c r="ZA82" s="23"/>
      <c r="ZB82" s="23"/>
      <c r="ZC82" s="23"/>
      <c r="ZD82" s="23"/>
      <c r="ZE82" s="23"/>
      <c r="ZF82" s="23"/>
      <c r="ZG82" s="23"/>
      <c r="ZH82" s="23"/>
      <c r="ZI82" s="23"/>
      <c r="ZJ82" s="23"/>
      <c r="ZK82" s="23"/>
      <c r="ZL82" s="23"/>
      <c r="ZM82" s="23"/>
      <c r="ZN82" s="23"/>
      <c r="ZO82" s="23"/>
      <c r="ZP82" s="23"/>
      <c r="ZQ82" s="23"/>
      <c r="ZR82" s="23"/>
      <c r="ZS82" s="23"/>
      <c r="ZT82" s="23"/>
      <c r="ZU82" s="23"/>
      <c r="ZV82" s="23"/>
      <c r="ZW82" s="23"/>
      <c r="ZX82" s="23"/>
      <c r="ZY82" s="23"/>
      <c r="ZZ82" s="23"/>
      <c r="AAA82" s="23"/>
      <c r="AAB82" s="23"/>
      <c r="AAC82" s="23"/>
      <c r="AAD82" s="23"/>
      <c r="AAE82" s="23"/>
      <c r="AAF82" s="23"/>
      <c r="AAG82" s="23"/>
      <c r="AAH82" s="23"/>
      <c r="AAI82" s="23"/>
      <c r="AAJ82" s="23"/>
      <c r="AAK82" s="23"/>
      <c r="AAL82" s="23"/>
      <c r="AAM82" s="23"/>
      <c r="AAN82" s="23"/>
      <c r="AAO82" s="23"/>
      <c r="AAP82" s="23"/>
      <c r="AAQ82" s="23"/>
      <c r="AAR82" s="23"/>
      <c r="AAS82" s="23"/>
      <c r="AAT82" s="23"/>
      <c r="AAU82" s="23"/>
      <c r="AAV82" s="23"/>
      <c r="AAW82" s="23"/>
      <c r="AAX82" s="23"/>
      <c r="AAY82" s="23"/>
      <c r="AAZ82" s="23"/>
      <c r="ABA82" s="23"/>
      <c r="ABB82" s="23"/>
      <c r="ABC82" s="23"/>
      <c r="ABD82" s="23"/>
      <c r="ABE82" s="23"/>
      <c r="ABF82" s="23"/>
      <c r="ABG82" s="23"/>
      <c r="ABH82" s="23"/>
      <c r="ABI82" s="23"/>
      <c r="ABJ82" s="23"/>
      <c r="ABK82" s="23"/>
      <c r="ABL82" s="23"/>
      <c r="ABM82" s="23"/>
      <c r="ABN82" s="23"/>
      <c r="ABO82" s="23"/>
      <c r="ABP82" s="23"/>
      <c r="ABQ82" s="23"/>
      <c r="ABR82" s="23"/>
      <c r="ABS82" s="23"/>
      <c r="ABT82" s="23"/>
      <c r="ABU82" s="23"/>
      <c r="ABV82" s="23"/>
      <c r="ABW82" s="23"/>
      <c r="ABX82" s="23"/>
      <c r="ABY82" s="23"/>
      <c r="ABZ82" s="23"/>
      <c r="ACA82" s="23"/>
      <c r="ACB82" s="23"/>
      <c r="ACC82" s="23"/>
      <c r="ACD82" s="23"/>
      <c r="ACE82" s="23"/>
      <c r="ACF82" s="23"/>
      <c r="ACG82" s="23"/>
      <c r="ACH82" s="23"/>
      <c r="ACI82" s="23"/>
      <c r="ACJ82" s="23"/>
      <c r="ACK82" s="23"/>
      <c r="ACL82" s="23"/>
      <c r="ACM82" s="23"/>
      <c r="ACN82" s="23"/>
      <c r="ACO82" s="23"/>
      <c r="ACP82" s="23"/>
      <c r="ACQ82" s="23"/>
      <c r="ACR82" s="23"/>
      <c r="ACS82" s="23"/>
      <c r="ACT82" s="23"/>
      <c r="ACU82" s="23"/>
      <c r="ACV82" s="23"/>
      <c r="ACW82" s="23"/>
      <c r="ACX82" s="23"/>
      <c r="ACY82" s="23"/>
      <c r="ACZ82" s="23"/>
      <c r="ADA82" s="23"/>
      <c r="ADB82" s="23"/>
      <c r="ADC82" s="23"/>
      <c r="ADD82" s="23"/>
      <c r="ADE82" s="23"/>
      <c r="ADF82" s="23"/>
      <c r="ADG82" s="23"/>
      <c r="ADH82" s="23"/>
      <c r="ADI82" s="23"/>
      <c r="ADJ82" s="23"/>
      <c r="ADK82" s="23"/>
      <c r="ADL82" s="23"/>
      <c r="ADM82" s="23"/>
      <c r="ADN82" s="23"/>
      <c r="ADO82" s="23"/>
      <c r="ADP82" s="23"/>
      <c r="ADQ82" s="23"/>
      <c r="ADR82" s="23"/>
      <c r="ADS82" s="23"/>
      <c r="ADT82" s="23"/>
      <c r="ADU82" s="23"/>
      <c r="ADV82" s="23"/>
      <c r="ADW82" s="23"/>
      <c r="ADX82" s="23"/>
      <c r="ADY82" s="23"/>
      <c r="ADZ82" s="23"/>
      <c r="AEA82" s="23"/>
      <c r="AEB82" s="23"/>
      <c r="AEC82" s="23"/>
      <c r="AED82" s="23"/>
      <c r="AEE82" s="23"/>
      <c r="AEF82" s="23"/>
      <c r="AEG82" s="23"/>
      <c r="AEH82" s="23"/>
      <c r="AEI82" s="23"/>
      <c r="AEJ82" s="23"/>
      <c r="AEK82" s="23"/>
      <c r="AEL82" s="23"/>
      <c r="AEM82" s="23"/>
      <c r="AEN82" s="23"/>
      <c r="AEO82" s="23"/>
      <c r="AEP82" s="23"/>
      <c r="AEQ82" s="23"/>
      <c r="AER82" s="23"/>
      <c r="AES82" s="23"/>
      <c r="AET82" s="23"/>
      <c r="AEU82" s="23"/>
      <c r="AEV82" s="23"/>
      <c r="AEW82" s="23"/>
      <c r="AEX82" s="23"/>
      <c r="AEY82" s="23"/>
      <c r="AEZ82" s="23"/>
      <c r="AFA82" s="23"/>
      <c r="AFB82" s="23"/>
      <c r="AFC82" s="23"/>
      <c r="AFD82" s="23"/>
      <c r="AFE82" s="23"/>
      <c r="AFF82" s="23"/>
      <c r="AFG82" s="23"/>
      <c r="AFH82" s="23"/>
      <c r="AFI82" s="23"/>
      <c r="AFJ82" s="23"/>
      <c r="AFK82" s="23"/>
      <c r="AFL82" s="23"/>
      <c r="AFM82" s="23"/>
      <c r="AFN82" s="23"/>
      <c r="AFO82" s="23"/>
      <c r="AFP82" s="23"/>
      <c r="AFQ82" s="23"/>
      <c r="AFR82" s="23"/>
      <c r="AFS82" s="23"/>
      <c r="AFT82" s="23"/>
      <c r="AFU82" s="23"/>
      <c r="AFV82" s="23"/>
      <c r="AFW82" s="23"/>
      <c r="AFX82" s="23"/>
      <c r="AFY82" s="23"/>
      <c r="AFZ82" s="23"/>
      <c r="AGA82" s="23"/>
      <c r="AGB82" s="23"/>
      <c r="AGC82" s="23"/>
      <c r="AGD82" s="23"/>
      <c r="AGE82" s="23"/>
      <c r="AGF82" s="23"/>
      <c r="AGG82" s="23"/>
      <c r="AGH82" s="23"/>
      <c r="AGI82" s="23"/>
      <c r="AGJ82" s="23"/>
      <c r="AGK82" s="23"/>
      <c r="AGL82" s="23"/>
      <c r="AGM82" s="23"/>
      <c r="AGN82" s="23"/>
      <c r="AGO82" s="23"/>
      <c r="AGP82" s="23"/>
      <c r="AGQ82" s="23"/>
      <c r="AGR82" s="23"/>
      <c r="AGS82" s="23"/>
      <c r="AGT82" s="23"/>
      <c r="AGU82" s="23"/>
      <c r="AGV82" s="23"/>
      <c r="AGW82" s="23"/>
      <c r="AGX82" s="23"/>
      <c r="AGY82" s="23"/>
      <c r="AGZ82" s="23"/>
      <c r="AHA82" s="23"/>
      <c r="AHB82" s="23"/>
      <c r="AHC82" s="23"/>
      <c r="AHD82" s="23"/>
      <c r="AHE82" s="23"/>
      <c r="AHF82" s="23"/>
      <c r="AHG82" s="23"/>
      <c r="AHH82" s="23"/>
      <c r="AHI82" s="23"/>
      <c r="AHJ82" s="23"/>
      <c r="AHK82" s="23"/>
      <c r="AHL82" s="23"/>
      <c r="AHM82" s="23"/>
      <c r="AHN82" s="23"/>
      <c r="AHO82" s="23"/>
      <c r="AHP82" s="23"/>
      <c r="AHQ82" s="23"/>
      <c r="AHR82" s="23"/>
      <c r="AHS82" s="23"/>
      <c r="AHT82" s="23"/>
      <c r="AHU82" s="23"/>
      <c r="AHV82" s="23"/>
      <c r="AHW82" s="23"/>
      <c r="AHX82" s="23"/>
      <c r="AHY82" s="23"/>
      <c r="AHZ82" s="23"/>
      <c r="AIA82" s="23"/>
      <c r="AIB82" s="23"/>
      <c r="AIC82" s="23"/>
      <c r="AID82" s="23"/>
      <c r="AIE82" s="23"/>
      <c r="AIF82" s="23"/>
      <c r="AIG82" s="23"/>
      <c r="AIH82" s="23"/>
      <c r="AII82" s="23"/>
      <c r="AIJ82" s="23"/>
      <c r="AIK82" s="23"/>
      <c r="AIL82" s="23"/>
      <c r="AIM82" s="23"/>
      <c r="AIN82" s="23"/>
      <c r="AIO82" s="23"/>
      <c r="AIP82" s="23"/>
      <c r="AIQ82" s="23"/>
      <c r="AIR82" s="23"/>
      <c r="AIS82" s="23"/>
      <c r="AIT82" s="23"/>
      <c r="AIU82" s="23"/>
      <c r="AIV82" s="23"/>
      <c r="AIW82" s="23"/>
      <c r="AIX82" s="23"/>
      <c r="AIY82" s="23"/>
      <c r="AIZ82" s="23"/>
      <c r="AJA82" s="23"/>
      <c r="AJB82" s="23"/>
      <c r="AJC82" s="23"/>
      <c r="AJD82" s="23"/>
      <c r="AJE82" s="23"/>
      <c r="AJF82" s="23"/>
      <c r="AJG82" s="23"/>
      <c r="AJH82" s="23"/>
      <c r="AJI82" s="23"/>
      <c r="AJJ82" s="23"/>
      <c r="AJK82" s="23"/>
      <c r="AJL82" s="23"/>
      <c r="AJM82" s="23"/>
      <c r="AJN82" s="23"/>
      <c r="AJO82" s="23"/>
      <c r="AJP82" s="23"/>
      <c r="AJQ82" s="23"/>
      <c r="AJR82" s="23"/>
      <c r="AJS82" s="23"/>
      <c r="AJT82" s="23"/>
      <c r="AJU82" s="23"/>
      <c r="AJV82" s="23"/>
      <c r="AJW82" s="23"/>
      <c r="AJX82" s="23"/>
      <c r="AJY82" s="23"/>
      <c r="AJZ82" s="23"/>
      <c r="AKA82" s="23"/>
      <c r="AKB82" s="23"/>
      <c r="AKC82" s="23"/>
      <c r="AKD82" s="23"/>
      <c r="AKE82" s="23"/>
      <c r="AKF82" s="23"/>
      <c r="AKG82" s="23"/>
      <c r="AKH82" s="23"/>
      <c r="AKI82" s="23"/>
      <c r="AKJ82" s="23"/>
      <c r="AKK82" s="23"/>
      <c r="AKL82" s="23"/>
      <c r="AKM82" s="23"/>
      <c r="AKN82" s="23"/>
      <c r="AKO82" s="23"/>
      <c r="AKP82" s="23"/>
      <c r="AKQ82" s="23"/>
      <c r="AKR82" s="23"/>
      <c r="AKS82" s="23"/>
      <c r="AKT82" s="23"/>
      <c r="AKU82" s="23"/>
      <c r="AKV82" s="23"/>
      <c r="AKW82" s="23"/>
      <c r="AKX82" s="23"/>
      <c r="AKY82" s="23"/>
      <c r="AKZ82" s="23"/>
      <c r="ALA82" s="23"/>
      <c r="ALB82" s="23"/>
      <c r="ALC82" s="23"/>
      <c r="ALD82" s="23"/>
      <c r="ALE82" s="23"/>
      <c r="ALF82" s="23"/>
      <c r="ALG82" s="23"/>
      <c r="ALH82" s="23"/>
      <c r="ALI82" s="23"/>
      <c r="ALJ82" s="23"/>
      <c r="ALK82" s="23"/>
      <c r="ALL82" s="23"/>
      <c r="ALM82" s="23"/>
      <c r="ALN82" s="23"/>
      <c r="ALO82" s="23"/>
      <c r="ALP82" s="23"/>
      <c r="ALQ82" s="23"/>
      <c r="ALR82" s="23"/>
      <c r="ALS82" s="23"/>
      <c r="ALT82" s="23"/>
      <c r="ALU82" s="23"/>
      <c r="ALV82" s="23"/>
      <c r="ALW82" s="23"/>
      <c r="ALX82" s="23"/>
      <c r="ALY82" s="23"/>
      <c r="ALZ82" s="23"/>
      <c r="AMA82" s="23"/>
      <c r="AMB82" s="23"/>
      <c r="AMC82" s="23"/>
      <c r="AMD82" s="23"/>
      <c r="AME82" s="23"/>
      <c r="AMF82" s="23"/>
      <c r="AMG82" s="23"/>
      <c r="AMH82" s="23"/>
      <c r="AMI82" s="23"/>
      <c r="AMJ82" s="23"/>
    </row>
    <row r="83" spans="1:1024" s="13" customFormat="1" ht="36.6" customHeight="1">
      <c r="A83" s="14" t="s">
        <v>110</v>
      </c>
      <c r="B83" s="14" t="s">
        <v>111</v>
      </c>
      <c r="C83" s="14" t="s">
        <v>112</v>
      </c>
      <c r="D83" s="15" t="s">
        <v>113</v>
      </c>
      <c r="E83" s="28">
        <f>F83</f>
        <v>1515000</v>
      </c>
      <c r="F83" s="20">
        <f>200000+1300000-685000+400000+300000</f>
        <v>1515000</v>
      </c>
      <c r="G83" s="28">
        <v>0</v>
      </c>
      <c r="H83" s="28">
        <v>0</v>
      </c>
      <c r="I83" s="31">
        <v>0</v>
      </c>
      <c r="J83" s="28">
        <f>K83</f>
        <v>684000</v>
      </c>
      <c r="K83" s="110">
        <f>685000-1000</f>
        <v>684000</v>
      </c>
      <c r="L83" s="28">
        <v>0</v>
      </c>
      <c r="M83" s="28">
        <v>0</v>
      </c>
      <c r="N83" s="28">
        <v>0</v>
      </c>
      <c r="O83" s="28">
        <f>K83</f>
        <v>684000</v>
      </c>
      <c r="P83" s="29">
        <f>E83+J83</f>
        <v>2199000</v>
      </c>
      <c r="Q83" s="10"/>
    </row>
    <row r="84" spans="1:1024" s="13" customFormat="1" ht="36.6" customHeight="1">
      <c r="A84" s="14" t="s">
        <v>169</v>
      </c>
      <c r="B84" s="14" t="s">
        <v>168</v>
      </c>
      <c r="C84" s="27" t="s">
        <v>116</v>
      </c>
      <c r="D84" s="15" t="s">
        <v>167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f>K84</f>
        <v>2373998</v>
      </c>
      <c r="K84" s="110">
        <f>649000+60000+350000-8480+50000-4300+1277778</f>
        <v>2373998</v>
      </c>
      <c r="L84" s="28">
        <v>0</v>
      </c>
      <c r="M84" s="28">
        <v>0</v>
      </c>
      <c r="N84" s="28">
        <v>0</v>
      </c>
      <c r="O84" s="28">
        <f>K84</f>
        <v>2373998</v>
      </c>
      <c r="P84" s="29">
        <f t="shared" si="25"/>
        <v>2373998</v>
      </c>
      <c r="Q84" s="10"/>
    </row>
    <row r="85" spans="1:1024" s="13" customFormat="1" ht="36.6" customHeight="1">
      <c r="A85" s="14" t="s">
        <v>165</v>
      </c>
      <c r="B85" s="14" t="s">
        <v>161</v>
      </c>
      <c r="C85" s="27" t="s">
        <v>116</v>
      </c>
      <c r="D85" s="15" t="s">
        <v>141</v>
      </c>
      <c r="E85" s="28">
        <f>F85</f>
        <v>37000</v>
      </c>
      <c r="F85" s="20">
        <v>37000</v>
      </c>
      <c r="G85" s="28">
        <v>0</v>
      </c>
      <c r="H85" s="28">
        <v>0</v>
      </c>
      <c r="I85" s="31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9">
        <f t="shared" si="25"/>
        <v>37000</v>
      </c>
      <c r="Q85" s="10"/>
    </row>
    <row r="86" spans="1:1024" s="13" customFormat="1" ht="45.95" customHeight="1">
      <c r="A86" s="107" t="s">
        <v>114</v>
      </c>
      <c r="B86" s="107" t="s">
        <v>115</v>
      </c>
      <c r="C86" s="107" t="s">
        <v>116</v>
      </c>
      <c r="D86" s="111" t="s">
        <v>117</v>
      </c>
      <c r="E86" s="28">
        <f>F86</f>
        <v>0</v>
      </c>
      <c r="F86" s="28">
        <v>0</v>
      </c>
      <c r="G86" s="28">
        <v>0</v>
      </c>
      <c r="H86" s="28">
        <v>0</v>
      </c>
      <c r="I86" s="31">
        <v>0</v>
      </c>
      <c r="J86" s="28">
        <f>L86</f>
        <v>61000</v>
      </c>
      <c r="K86" s="28">
        <v>0</v>
      </c>
      <c r="L86" s="20">
        <f>7000+54000</f>
        <v>61000</v>
      </c>
      <c r="M86" s="28">
        <v>0</v>
      </c>
      <c r="N86" s="28">
        <v>0</v>
      </c>
      <c r="O86" s="28">
        <v>0</v>
      </c>
      <c r="P86" s="29">
        <f t="shared" si="25"/>
        <v>61000</v>
      </c>
      <c r="Q86" s="10"/>
    </row>
    <row r="87" spans="1:1024" s="13" customFormat="1" ht="20.25" customHeight="1">
      <c r="A87" s="16"/>
      <c r="B87" s="16" t="s">
        <v>166</v>
      </c>
      <c r="C87" s="16"/>
      <c r="D87" s="112" t="s">
        <v>157</v>
      </c>
      <c r="E87" s="57">
        <f>E88+E89+E90+E95</f>
        <v>821729</v>
      </c>
      <c r="F87" s="57">
        <f t="shared" ref="F87:P87" si="27">F88+F89+F90+F95</f>
        <v>821729</v>
      </c>
      <c r="G87" s="57">
        <f t="shared" si="27"/>
        <v>0</v>
      </c>
      <c r="H87" s="57">
        <f t="shared" si="27"/>
        <v>40967</v>
      </c>
      <c r="I87" s="57">
        <f t="shared" si="27"/>
        <v>0</v>
      </c>
      <c r="J87" s="57">
        <f t="shared" si="27"/>
        <v>415000</v>
      </c>
      <c r="K87" s="57">
        <f t="shared" si="27"/>
        <v>400000</v>
      </c>
      <c r="L87" s="57">
        <f t="shared" si="27"/>
        <v>15000</v>
      </c>
      <c r="M87" s="57">
        <f t="shared" si="27"/>
        <v>0</v>
      </c>
      <c r="N87" s="57">
        <f t="shared" si="27"/>
        <v>0</v>
      </c>
      <c r="O87" s="57">
        <f t="shared" si="27"/>
        <v>400000</v>
      </c>
      <c r="P87" s="57">
        <f t="shared" si="27"/>
        <v>1236729</v>
      </c>
      <c r="Q87" s="57">
        <f>SUM(Q88:Q95)</f>
        <v>0</v>
      </c>
      <c r="R87" s="57">
        <f>SUM(R88:R95)</f>
        <v>0</v>
      </c>
    </row>
    <row r="88" spans="1:1024" s="13" customFormat="1" ht="21.75" customHeight="1">
      <c r="A88" s="14" t="s">
        <v>146</v>
      </c>
      <c r="B88" s="14" t="s">
        <v>147</v>
      </c>
      <c r="C88" s="107" t="s">
        <v>153</v>
      </c>
      <c r="D88" s="108" t="s">
        <v>154</v>
      </c>
      <c r="E88" s="28">
        <f>F88</f>
        <v>571700</v>
      </c>
      <c r="F88" s="20">
        <f>507500+64200</f>
        <v>571700</v>
      </c>
      <c r="G88" s="28">
        <v>0</v>
      </c>
      <c r="H88" s="28">
        <v>0</v>
      </c>
      <c r="I88" s="31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9">
        <f>E88+J88</f>
        <v>571700</v>
      </c>
      <c r="Q88" s="10"/>
    </row>
    <row r="89" spans="1:1024" s="13" customFormat="1" ht="21.75" customHeight="1">
      <c r="A89" s="14" t="s">
        <v>118</v>
      </c>
      <c r="B89" s="14" t="s">
        <v>119</v>
      </c>
      <c r="C89" s="14" t="s">
        <v>120</v>
      </c>
      <c r="D89" s="15" t="s">
        <v>121</v>
      </c>
      <c r="E89" s="28">
        <f>F89</f>
        <v>250029</v>
      </c>
      <c r="F89" s="20">
        <f>30029+220000</f>
        <v>250029</v>
      </c>
      <c r="G89" s="28">
        <v>0</v>
      </c>
      <c r="H89" s="20">
        <f>10000+10967+20000</f>
        <v>40967</v>
      </c>
      <c r="I89" s="31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9">
        <f>E89+J89</f>
        <v>250029</v>
      </c>
      <c r="Q89" s="10"/>
    </row>
    <row r="90" spans="1:1024" s="13" customFormat="1" ht="21.75" customHeight="1">
      <c r="A90" s="14" t="s">
        <v>183</v>
      </c>
      <c r="B90" s="14" t="s">
        <v>184</v>
      </c>
      <c r="C90" s="14" t="s">
        <v>120</v>
      </c>
      <c r="D90" s="15" t="s">
        <v>185</v>
      </c>
      <c r="E90" s="28">
        <f>F90</f>
        <v>0</v>
      </c>
      <c r="F90" s="20">
        <v>0</v>
      </c>
      <c r="G90" s="28">
        <v>0</v>
      </c>
      <c r="H90" s="28">
        <v>0</v>
      </c>
      <c r="I90" s="28">
        <v>0</v>
      </c>
      <c r="J90" s="28">
        <f>K90</f>
        <v>400000</v>
      </c>
      <c r="K90" s="109">
        <v>400000</v>
      </c>
      <c r="L90" s="28">
        <v>0</v>
      </c>
      <c r="M90" s="28">
        <v>0</v>
      </c>
      <c r="N90" s="28">
        <v>0</v>
      </c>
      <c r="O90" s="28">
        <f>K90</f>
        <v>400000</v>
      </c>
      <c r="P90" s="29">
        <f>E90+J90</f>
        <v>400000</v>
      </c>
      <c r="Q90" s="10"/>
    </row>
    <row r="91" spans="1:1024" s="13" customFormat="1" ht="15.75" customHeight="1">
      <c r="A91" s="138" t="s">
        <v>187</v>
      </c>
      <c r="B91" s="138" t="s">
        <v>12</v>
      </c>
      <c r="C91" s="138" t="s">
        <v>13</v>
      </c>
      <c r="D91" s="138" t="s">
        <v>14</v>
      </c>
      <c r="E91" s="139" t="s">
        <v>9</v>
      </c>
      <c r="F91" s="139"/>
      <c r="G91" s="139"/>
      <c r="H91" s="139"/>
      <c r="I91" s="139"/>
      <c r="J91" s="140" t="s">
        <v>2</v>
      </c>
      <c r="K91" s="140"/>
      <c r="L91" s="140"/>
      <c r="M91" s="140"/>
      <c r="N91" s="140"/>
      <c r="O91" s="140"/>
      <c r="P91" s="146" t="s">
        <v>15</v>
      </c>
      <c r="Q91" s="10"/>
    </row>
    <row r="92" spans="1:1024" s="13" customFormat="1" ht="11.25">
      <c r="A92" s="138"/>
      <c r="B92" s="138"/>
      <c r="C92" s="138"/>
      <c r="D92" s="138"/>
      <c r="E92" s="140" t="s">
        <v>3</v>
      </c>
      <c r="F92" s="141" t="s">
        <v>16</v>
      </c>
      <c r="G92" s="138" t="s">
        <v>17</v>
      </c>
      <c r="H92" s="138"/>
      <c r="I92" s="142" t="s">
        <v>18</v>
      </c>
      <c r="J92" s="140" t="str">
        <f>E92</f>
        <v>усього</v>
      </c>
      <c r="K92" s="141" t="s">
        <v>19</v>
      </c>
      <c r="L92" s="141" t="s">
        <v>16</v>
      </c>
      <c r="M92" s="138" t="s">
        <v>17</v>
      </c>
      <c r="N92" s="138"/>
      <c r="O92" s="141" t="s">
        <v>18</v>
      </c>
      <c r="P92" s="146"/>
      <c r="Q92" s="10"/>
    </row>
    <row r="93" spans="1:1024" s="13" customFormat="1" ht="108.75" customHeight="1">
      <c r="A93" s="138"/>
      <c r="B93" s="138"/>
      <c r="C93" s="138"/>
      <c r="D93" s="138"/>
      <c r="E93" s="140"/>
      <c r="F93" s="141"/>
      <c r="G93" s="137" t="s">
        <v>20</v>
      </c>
      <c r="H93" s="137" t="s">
        <v>21</v>
      </c>
      <c r="I93" s="142"/>
      <c r="J93" s="140"/>
      <c r="K93" s="141"/>
      <c r="L93" s="141"/>
      <c r="M93" s="137" t="s">
        <v>20</v>
      </c>
      <c r="N93" s="137" t="s">
        <v>21</v>
      </c>
      <c r="O93" s="141"/>
      <c r="P93" s="146"/>
      <c r="Q93" s="10"/>
    </row>
    <row r="94" spans="1:1024" s="13" customFormat="1" ht="17.25" customHeight="1">
      <c r="A94" s="27">
        <v>1</v>
      </c>
      <c r="B94" s="43">
        <v>2</v>
      </c>
      <c r="C94" s="43">
        <v>3</v>
      </c>
      <c r="D94" s="27">
        <v>4</v>
      </c>
      <c r="E94" s="17">
        <v>5</v>
      </c>
      <c r="F94" s="44">
        <v>6</v>
      </c>
      <c r="G94" s="27">
        <v>7</v>
      </c>
      <c r="H94" s="72">
        <v>8</v>
      </c>
      <c r="I94" s="73">
        <v>9</v>
      </c>
      <c r="J94" s="72">
        <v>10</v>
      </c>
      <c r="K94" s="74">
        <v>11</v>
      </c>
      <c r="L94" s="74">
        <v>12</v>
      </c>
      <c r="M94" s="72">
        <v>13</v>
      </c>
      <c r="N94" s="72">
        <v>14</v>
      </c>
      <c r="O94" s="74">
        <v>15</v>
      </c>
      <c r="P94" s="75">
        <v>16</v>
      </c>
      <c r="Q94" s="10"/>
    </row>
    <row r="95" spans="1:1024" s="13" customFormat="1" ht="27.75" customHeight="1">
      <c r="A95" s="14" t="s">
        <v>122</v>
      </c>
      <c r="B95" s="14" t="s">
        <v>123</v>
      </c>
      <c r="C95" s="14" t="s">
        <v>124</v>
      </c>
      <c r="D95" s="15" t="s">
        <v>125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f>L95</f>
        <v>15000</v>
      </c>
      <c r="K95" s="28">
        <v>0</v>
      </c>
      <c r="L95" s="20">
        <v>15000</v>
      </c>
      <c r="M95" s="28">
        <v>0</v>
      </c>
      <c r="N95" s="28">
        <v>0</v>
      </c>
      <c r="O95" s="28">
        <v>0</v>
      </c>
      <c r="P95" s="29">
        <f>E95+J95</f>
        <v>15000</v>
      </c>
      <c r="Q95" s="10"/>
    </row>
    <row r="96" spans="1:1024" s="53" customFormat="1" ht="30" customHeight="1">
      <c r="A96" s="47" t="s">
        <v>131</v>
      </c>
      <c r="B96" s="48"/>
      <c r="C96" s="49"/>
      <c r="D96" s="50" t="s">
        <v>132</v>
      </c>
      <c r="E96" s="51">
        <f>E97</f>
        <v>6778360</v>
      </c>
      <c r="F96" s="51">
        <f t="shared" ref="F96:P96" si="28">F97</f>
        <v>5778360</v>
      </c>
      <c r="G96" s="51">
        <f t="shared" si="28"/>
        <v>638001</v>
      </c>
      <c r="H96" s="51">
        <f t="shared" si="28"/>
        <v>26219</v>
      </c>
      <c r="I96" s="51">
        <f t="shared" si="28"/>
        <v>0</v>
      </c>
      <c r="J96" s="51">
        <f t="shared" si="28"/>
        <v>1381000</v>
      </c>
      <c r="K96" s="51">
        <f t="shared" si="28"/>
        <v>1381000</v>
      </c>
      <c r="L96" s="51">
        <f t="shared" si="28"/>
        <v>0</v>
      </c>
      <c r="M96" s="51">
        <f t="shared" si="28"/>
        <v>0</v>
      </c>
      <c r="N96" s="51">
        <f t="shared" si="28"/>
        <v>0</v>
      </c>
      <c r="O96" s="51">
        <f t="shared" si="28"/>
        <v>1381000</v>
      </c>
      <c r="P96" s="51">
        <f t="shared" si="28"/>
        <v>8159360</v>
      </c>
      <c r="Q96" s="51">
        <f t="shared" ref="Q96:R96" si="29">Q97</f>
        <v>0</v>
      </c>
      <c r="R96" s="51">
        <f t="shared" si="29"/>
        <v>0</v>
      </c>
    </row>
    <row r="97" spans="1:1024" s="13" customFormat="1" ht="25.5" customHeight="1">
      <c r="A97" s="55" t="s">
        <v>133</v>
      </c>
      <c r="B97" s="56"/>
      <c r="C97" s="17"/>
      <c r="D97" s="18" t="s">
        <v>132</v>
      </c>
      <c r="E97" s="57">
        <f>E98+E102+E100</f>
        <v>6778360</v>
      </c>
      <c r="F97" s="57">
        <f t="shared" ref="F97:O97" si="30">F98+F102</f>
        <v>5778360</v>
      </c>
      <c r="G97" s="57">
        <f t="shared" si="30"/>
        <v>638001</v>
      </c>
      <c r="H97" s="57">
        <f t="shared" si="30"/>
        <v>26219</v>
      </c>
      <c r="I97" s="57">
        <f t="shared" si="30"/>
        <v>0</v>
      </c>
      <c r="J97" s="57">
        <f t="shared" si="30"/>
        <v>1381000</v>
      </c>
      <c r="K97" s="57">
        <f t="shared" si="30"/>
        <v>1381000</v>
      </c>
      <c r="L97" s="57">
        <f t="shared" si="30"/>
        <v>0</v>
      </c>
      <c r="M97" s="57">
        <f t="shared" si="30"/>
        <v>0</v>
      </c>
      <c r="N97" s="57">
        <f t="shared" si="30"/>
        <v>0</v>
      </c>
      <c r="O97" s="57">
        <f t="shared" si="30"/>
        <v>1381000</v>
      </c>
      <c r="P97" s="57">
        <f>J97+E97</f>
        <v>8159360</v>
      </c>
      <c r="Q97" s="10"/>
    </row>
    <row r="98" spans="1:1024" s="13" customFormat="1" ht="15.75" customHeight="1">
      <c r="A98" s="55"/>
      <c r="B98" s="55" t="s">
        <v>25</v>
      </c>
      <c r="C98" s="17"/>
      <c r="D98" s="18" t="s">
        <v>26</v>
      </c>
      <c r="E98" s="57">
        <f t="shared" ref="E98:O98" si="31">E99</f>
        <v>836600</v>
      </c>
      <c r="F98" s="57">
        <f t="shared" si="31"/>
        <v>836600</v>
      </c>
      <c r="G98" s="57">
        <f t="shared" si="31"/>
        <v>638001</v>
      </c>
      <c r="H98" s="57">
        <f t="shared" si="31"/>
        <v>26219</v>
      </c>
      <c r="I98" s="57">
        <f t="shared" si="31"/>
        <v>0</v>
      </c>
      <c r="J98" s="57">
        <f t="shared" si="31"/>
        <v>0</v>
      </c>
      <c r="K98" s="57">
        <f t="shared" si="31"/>
        <v>0</v>
      </c>
      <c r="L98" s="57">
        <f t="shared" si="31"/>
        <v>0</v>
      </c>
      <c r="M98" s="57">
        <f t="shared" si="31"/>
        <v>0</v>
      </c>
      <c r="N98" s="57">
        <f t="shared" si="31"/>
        <v>0</v>
      </c>
      <c r="O98" s="57">
        <f t="shared" si="31"/>
        <v>0</v>
      </c>
      <c r="P98" s="113">
        <f>E98+J98</f>
        <v>836600</v>
      </c>
      <c r="Q98" s="10"/>
    </row>
    <row r="99" spans="1:1024" s="13" customFormat="1" ht="45" customHeight="1">
      <c r="A99" s="27">
        <v>3710160</v>
      </c>
      <c r="B99" s="27" t="s">
        <v>28</v>
      </c>
      <c r="C99" s="27" t="s">
        <v>29</v>
      </c>
      <c r="D99" s="19" t="s">
        <v>30</v>
      </c>
      <c r="E99" s="28">
        <f>F99</f>
        <v>836600</v>
      </c>
      <c r="F99" s="20">
        <f>800000+36600</f>
        <v>836600</v>
      </c>
      <c r="G99" s="20">
        <f>600000+38001</f>
        <v>638001</v>
      </c>
      <c r="H99" s="21">
        <f>15000+11219</f>
        <v>26219</v>
      </c>
      <c r="I99" s="28">
        <v>0</v>
      </c>
      <c r="J99" s="28">
        <f>L99</f>
        <v>0</v>
      </c>
      <c r="K99" s="28">
        <v>0</v>
      </c>
      <c r="L99" s="22">
        <v>0</v>
      </c>
      <c r="M99" s="28">
        <v>0</v>
      </c>
      <c r="N99" s="28">
        <v>0</v>
      </c>
      <c r="O99" s="28">
        <v>0</v>
      </c>
      <c r="P99" s="28">
        <f>J99+E99</f>
        <v>836600</v>
      </c>
      <c r="Q99" s="10"/>
    </row>
    <row r="100" spans="1:1024" s="13" customFormat="1" ht="21.75" customHeight="1">
      <c r="A100" s="16"/>
      <c r="B100" s="16" t="s">
        <v>126</v>
      </c>
      <c r="C100" s="16"/>
      <c r="D100" s="18" t="s">
        <v>127</v>
      </c>
      <c r="E100" s="57">
        <f t="shared" ref="E100:O100" si="32">E101</f>
        <v>1000000</v>
      </c>
      <c r="F100" s="57">
        <f t="shared" si="32"/>
        <v>0</v>
      </c>
      <c r="G100" s="57">
        <f t="shared" si="32"/>
        <v>0</v>
      </c>
      <c r="H100" s="57">
        <f t="shared" si="32"/>
        <v>0</v>
      </c>
      <c r="I100" s="57">
        <f t="shared" si="32"/>
        <v>0</v>
      </c>
      <c r="J100" s="88">
        <f t="shared" si="32"/>
        <v>0</v>
      </c>
      <c r="K100" s="88">
        <f t="shared" si="32"/>
        <v>0</v>
      </c>
      <c r="L100" s="88">
        <f t="shared" si="32"/>
        <v>0</v>
      </c>
      <c r="M100" s="88">
        <f t="shared" si="32"/>
        <v>0</v>
      </c>
      <c r="N100" s="88">
        <f t="shared" si="32"/>
        <v>0</v>
      </c>
      <c r="O100" s="88">
        <f t="shared" si="32"/>
        <v>0</v>
      </c>
      <c r="P100" s="113">
        <f>E100+J100</f>
        <v>1000000</v>
      </c>
      <c r="Q100" s="10"/>
    </row>
    <row r="101" spans="1:1024" s="13" customFormat="1" ht="18.75" customHeight="1">
      <c r="A101" s="14" t="s">
        <v>128</v>
      </c>
      <c r="B101" s="27">
        <v>8700</v>
      </c>
      <c r="C101" s="14" t="s">
        <v>129</v>
      </c>
      <c r="D101" s="32" t="s">
        <v>130</v>
      </c>
      <c r="E101" s="20">
        <f>500000+500000</f>
        <v>1000000</v>
      </c>
      <c r="F101" s="28">
        <v>0</v>
      </c>
      <c r="G101" s="28">
        <v>0</v>
      </c>
      <c r="H101" s="28">
        <v>0</v>
      </c>
      <c r="I101" s="31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9">
        <f>E101+J101</f>
        <v>1000000</v>
      </c>
      <c r="Q101" s="10"/>
    </row>
    <row r="102" spans="1:1024" s="13" customFormat="1" ht="25.5" customHeight="1">
      <c r="A102" s="114"/>
      <c r="B102" s="115">
        <v>9000</v>
      </c>
      <c r="C102" s="116"/>
      <c r="D102" s="117" t="s">
        <v>142</v>
      </c>
      <c r="E102" s="57">
        <f>SUM(E103:E104)</f>
        <v>4941760</v>
      </c>
      <c r="F102" s="57">
        <f t="shared" ref="F102:R102" si="33">SUM(F103:F104)</f>
        <v>4941760</v>
      </c>
      <c r="G102" s="57">
        <f t="shared" si="33"/>
        <v>0</v>
      </c>
      <c r="H102" s="57">
        <f t="shared" si="33"/>
        <v>0</v>
      </c>
      <c r="I102" s="57">
        <f t="shared" si="33"/>
        <v>0</v>
      </c>
      <c r="J102" s="57">
        <f>SUM(J103:J104)</f>
        <v>1381000</v>
      </c>
      <c r="K102" s="57">
        <f t="shared" si="33"/>
        <v>1381000</v>
      </c>
      <c r="L102" s="57">
        <f t="shared" si="33"/>
        <v>0</v>
      </c>
      <c r="M102" s="57">
        <f t="shared" si="33"/>
        <v>0</v>
      </c>
      <c r="N102" s="57">
        <f t="shared" si="33"/>
        <v>0</v>
      </c>
      <c r="O102" s="57">
        <f t="shared" si="33"/>
        <v>1381000</v>
      </c>
      <c r="P102" s="57">
        <f t="shared" si="33"/>
        <v>6322760</v>
      </c>
      <c r="Q102" s="57">
        <f t="shared" si="33"/>
        <v>0</v>
      </c>
      <c r="R102" s="57">
        <f t="shared" si="33"/>
        <v>0</v>
      </c>
    </row>
    <row r="103" spans="1:1024" s="123" customFormat="1" ht="25.5" customHeight="1">
      <c r="A103" s="118">
        <v>3719770</v>
      </c>
      <c r="B103" s="118" t="s">
        <v>134</v>
      </c>
      <c r="C103" s="118" t="s">
        <v>135</v>
      </c>
      <c r="D103" s="119" t="s">
        <v>136</v>
      </c>
      <c r="E103" s="96">
        <f>F103</f>
        <v>3704860</v>
      </c>
      <c r="F103" s="6">
        <f>1386960+800000+700000+100000+100900+600000+17000</f>
        <v>3704860</v>
      </c>
      <c r="G103" s="96">
        <v>0</v>
      </c>
      <c r="H103" s="96">
        <v>0</v>
      </c>
      <c r="I103" s="96">
        <v>0</v>
      </c>
      <c r="J103" s="5">
        <f>K103</f>
        <v>1081000</v>
      </c>
      <c r="K103" s="120">
        <f>700000+300000+31000+50000</f>
        <v>1081000</v>
      </c>
      <c r="L103" s="96">
        <v>0</v>
      </c>
      <c r="M103" s="96">
        <v>0</v>
      </c>
      <c r="N103" s="96">
        <v>0</v>
      </c>
      <c r="O103" s="96">
        <f>K103</f>
        <v>1081000</v>
      </c>
      <c r="P103" s="121">
        <f>E103+J103</f>
        <v>4785860</v>
      </c>
      <c r="Q103" s="122"/>
    </row>
    <row r="104" spans="1:1024" ht="33.75">
      <c r="A104" s="14" t="s">
        <v>162</v>
      </c>
      <c r="B104" s="27">
        <v>9800</v>
      </c>
      <c r="C104" s="27" t="s">
        <v>135</v>
      </c>
      <c r="D104" s="32" t="s">
        <v>143</v>
      </c>
      <c r="E104" s="28">
        <f>F104</f>
        <v>1236900</v>
      </c>
      <c r="F104" s="124">
        <f>285000+237500+300000+40000+25200+399200-50000</f>
        <v>1236900</v>
      </c>
      <c r="G104" s="5">
        <v>0</v>
      </c>
      <c r="H104" s="5">
        <v>0</v>
      </c>
      <c r="I104" s="5">
        <v>0</v>
      </c>
      <c r="J104" s="5">
        <f>K104</f>
        <v>300000</v>
      </c>
      <c r="K104" s="120">
        <f>300000</f>
        <v>300000</v>
      </c>
      <c r="L104" s="125">
        <v>0</v>
      </c>
      <c r="M104" s="125">
        <v>0</v>
      </c>
      <c r="N104" s="125">
        <v>0</v>
      </c>
      <c r="O104" s="125">
        <f>K104</f>
        <v>300000</v>
      </c>
      <c r="P104" s="28">
        <f>E104+J104</f>
        <v>1536900</v>
      </c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  <c r="JI104" s="23"/>
      <c r="JJ104" s="23"/>
      <c r="JK104" s="23"/>
      <c r="JL104" s="23"/>
      <c r="JM104" s="23"/>
      <c r="JN104" s="23"/>
      <c r="JO104" s="23"/>
      <c r="JP104" s="23"/>
      <c r="JQ104" s="23"/>
      <c r="JR104" s="23"/>
      <c r="JS104" s="23"/>
      <c r="JT104" s="23"/>
      <c r="JU104" s="23"/>
      <c r="JV104" s="23"/>
      <c r="JW104" s="23"/>
      <c r="JX104" s="23"/>
      <c r="JY104" s="23"/>
      <c r="JZ104" s="23"/>
      <c r="KA104" s="23"/>
      <c r="KB104" s="23"/>
      <c r="KC104" s="23"/>
      <c r="KD104" s="23"/>
      <c r="KE104" s="23"/>
      <c r="KF104" s="23"/>
      <c r="KG104" s="23"/>
      <c r="KH104" s="23"/>
      <c r="KI104" s="23"/>
      <c r="KJ104" s="23"/>
      <c r="KK104" s="23"/>
      <c r="KL104" s="23"/>
      <c r="KM104" s="23"/>
      <c r="KN104" s="23"/>
      <c r="KO104" s="23"/>
      <c r="KP104" s="23"/>
      <c r="KQ104" s="23"/>
      <c r="KR104" s="23"/>
      <c r="KS104" s="23"/>
      <c r="KT104" s="23"/>
      <c r="KU104" s="23"/>
      <c r="KV104" s="23"/>
      <c r="KW104" s="23"/>
      <c r="KX104" s="23"/>
      <c r="KY104" s="23"/>
      <c r="KZ104" s="23"/>
      <c r="LA104" s="23"/>
      <c r="LB104" s="23"/>
      <c r="LC104" s="23"/>
      <c r="LD104" s="23"/>
      <c r="LE104" s="23"/>
      <c r="LF104" s="23"/>
      <c r="LG104" s="23"/>
      <c r="LH104" s="23"/>
      <c r="LI104" s="23"/>
      <c r="LJ104" s="23"/>
      <c r="LK104" s="23"/>
      <c r="LL104" s="23"/>
      <c r="LM104" s="23"/>
      <c r="LN104" s="23"/>
      <c r="LO104" s="23"/>
      <c r="LP104" s="23"/>
      <c r="LQ104" s="23"/>
      <c r="LR104" s="23"/>
      <c r="LS104" s="23"/>
      <c r="LT104" s="23"/>
      <c r="LU104" s="23"/>
      <c r="LV104" s="23"/>
      <c r="LW104" s="23"/>
      <c r="LX104" s="23"/>
      <c r="LY104" s="23"/>
      <c r="LZ104" s="23"/>
      <c r="MA104" s="23"/>
      <c r="MB104" s="23"/>
      <c r="MC104" s="23"/>
      <c r="MD104" s="23"/>
      <c r="ME104" s="23"/>
      <c r="MF104" s="23"/>
      <c r="MG104" s="23"/>
      <c r="MH104" s="23"/>
      <c r="MI104" s="23"/>
      <c r="MJ104" s="23"/>
      <c r="MK104" s="23"/>
      <c r="ML104" s="23"/>
      <c r="MM104" s="23"/>
      <c r="MN104" s="23"/>
      <c r="MO104" s="23"/>
      <c r="MP104" s="23"/>
      <c r="MQ104" s="23"/>
      <c r="MR104" s="23"/>
      <c r="MS104" s="23"/>
      <c r="MT104" s="23"/>
      <c r="MU104" s="23"/>
      <c r="MV104" s="23"/>
      <c r="MW104" s="23"/>
      <c r="MX104" s="23"/>
      <c r="MY104" s="23"/>
      <c r="MZ104" s="23"/>
      <c r="NA104" s="23"/>
      <c r="NB104" s="23"/>
      <c r="NC104" s="23"/>
      <c r="ND104" s="23"/>
      <c r="NE104" s="23"/>
      <c r="NF104" s="23"/>
      <c r="NG104" s="23"/>
      <c r="NH104" s="23"/>
      <c r="NI104" s="23"/>
      <c r="NJ104" s="23"/>
      <c r="NK104" s="23"/>
      <c r="NL104" s="23"/>
      <c r="NM104" s="23"/>
      <c r="NN104" s="23"/>
      <c r="NO104" s="23"/>
      <c r="NP104" s="23"/>
      <c r="NQ104" s="23"/>
      <c r="NR104" s="23"/>
      <c r="NS104" s="23"/>
      <c r="NT104" s="23"/>
      <c r="NU104" s="23"/>
      <c r="NV104" s="23"/>
      <c r="NW104" s="23"/>
      <c r="NX104" s="23"/>
      <c r="NY104" s="23"/>
      <c r="NZ104" s="23"/>
      <c r="OA104" s="23"/>
      <c r="OB104" s="23"/>
      <c r="OC104" s="23"/>
      <c r="OD104" s="23"/>
      <c r="OE104" s="23"/>
      <c r="OF104" s="23"/>
      <c r="OG104" s="23"/>
      <c r="OH104" s="23"/>
      <c r="OI104" s="23"/>
      <c r="OJ104" s="23"/>
      <c r="OK104" s="23"/>
      <c r="OL104" s="23"/>
      <c r="OM104" s="23"/>
      <c r="ON104" s="23"/>
      <c r="OO104" s="23"/>
      <c r="OP104" s="23"/>
      <c r="OQ104" s="23"/>
      <c r="OR104" s="23"/>
      <c r="OS104" s="23"/>
      <c r="OT104" s="23"/>
      <c r="OU104" s="23"/>
      <c r="OV104" s="23"/>
      <c r="OW104" s="23"/>
      <c r="OX104" s="23"/>
      <c r="OY104" s="23"/>
      <c r="OZ104" s="23"/>
      <c r="PA104" s="23"/>
      <c r="PB104" s="23"/>
      <c r="PC104" s="23"/>
      <c r="PD104" s="23"/>
      <c r="PE104" s="23"/>
      <c r="PF104" s="23"/>
      <c r="PG104" s="23"/>
      <c r="PH104" s="23"/>
      <c r="PI104" s="23"/>
      <c r="PJ104" s="23"/>
      <c r="PK104" s="23"/>
      <c r="PL104" s="23"/>
      <c r="PM104" s="23"/>
      <c r="PN104" s="23"/>
      <c r="PO104" s="23"/>
      <c r="PP104" s="23"/>
      <c r="PQ104" s="23"/>
      <c r="PR104" s="23"/>
      <c r="PS104" s="23"/>
      <c r="PT104" s="23"/>
      <c r="PU104" s="23"/>
      <c r="PV104" s="23"/>
      <c r="PW104" s="23"/>
      <c r="PX104" s="23"/>
      <c r="PY104" s="23"/>
      <c r="PZ104" s="23"/>
      <c r="QA104" s="23"/>
      <c r="QB104" s="23"/>
      <c r="QC104" s="23"/>
      <c r="QD104" s="23"/>
      <c r="QE104" s="23"/>
      <c r="QF104" s="23"/>
      <c r="QG104" s="23"/>
      <c r="QH104" s="23"/>
      <c r="QI104" s="23"/>
      <c r="QJ104" s="23"/>
      <c r="QK104" s="23"/>
      <c r="QL104" s="23"/>
      <c r="QM104" s="23"/>
      <c r="QN104" s="23"/>
      <c r="QO104" s="23"/>
      <c r="QP104" s="23"/>
      <c r="QQ104" s="23"/>
      <c r="QR104" s="23"/>
      <c r="QS104" s="23"/>
      <c r="QT104" s="23"/>
      <c r="QU104" s="23"/>
      <c r="QV104" s="23"/>
      <c r="QW104" s="23"/>
      <c r="QX104" s="23"/>
      <c r="QY104" s="23"/>
      <c r="QZ104" s="23"/>
      <c r="RA104" s="23"/>
      <c r="RB104" s="23"/>
      <c r="RC104" s="23"/>
      <c r="RD104" s="23"/>
      <c r="RE104" s="23"/>
      <c r="RF104" s="23"/>
      <c r="RG104" s="23"/>
      <c r="RH104" s="23"/>
      <c r="RI104" s="23"/>
      <c r="RJ104" s="23"/>
      <c r="RK104" s="23"/>
      <c r="RL104" s="23"/>
      <c r="RM104" s="23"/>
      <c r="RN104" s="23"/>
      <c r="RO104" s="23"/>
      <c r="RP104" s="23"/>
      <c r="RQ104" s="23"/>
      <c r="RR104" s="23"/>
      <c r="RS104" s="23"/>
      <c r="RT104" s="23"/>
      <c r="RU104" s="23"/>
      <c r="RV104" s="23"/>
      <c r="RW104" s="23"/>
      <c r="RX104" s="23"/>
      <c r="RY104" s="23"/>
      <c r="RZ104" s="23"/>
      <c r="SA104" s="23"/>
      <c r="SB104" s="23"/>
      <c r="SC104" s="23"/>
      <c r="SD104" s="23"/>
      <c r="SE104" s="23"/>
      <c r="SF104" s="23"/>
      <c r="SG104" s="23"/>
      <c r="SH104" s="23"/>
      <c r="SI104" s="23"/>
      <c r="SJ104" s="23"/>
      <c r="SK104" s="23"/>
      <c r="SL104" s="23"/>
      <c r="SM104" s="23"/>
      <c r="SN104" s="23"/>
      <c r="SO104" s="23"/>
      <c r="SP104" s="23"/>
      <c r="SQ104" s="23"/>
      <c r="SR104" s="23"/>
      <c r="SS104" s="23"/>
      <c r="ST104" s="23"/>
      <c r="SU104" s="23"/>
      <c r="SV104" s="23"/>
      <c r="SW104" s="23"/>
      <c r="SX104" s="23"/>
      <c r="SY104" s="23"/>
      <c r="SZ104" s="23"/>
      <c r="TA104" s="23"/>
      <c r="TB104" s="23"/>
      <c r="TC104" s="23"/>
      <c r="TD104" s="23"/>
      <c r="TE104" s="23"/>
      <c r="TF104" s="23"/>
      <c r="TG104" s="23"/>
      <c r="TH104" s="23"/>
      <c r="TI104" s="23"/>
      <c r="TJ104" s="23"/>
      <c r="TK104" s="23"/>
      <c r="TL104" s="23"/>
      <c r="TM104" s="23"/>
      <c r="TN104" s="23"/>
      <c r="TO104" s="23"/>
      <c r="TP104" s="23"/>
      <c r="TQ104" s="23"/>
      <c r="TR104" s="23"/>
      <c r="TS104" s="23"/>
      <c r="TT104" s="23"/>
      <c r="TU104" s="23"/>
      <c r="TV104" s="23"/>
      <c r="TW104" s="23"/>
      <c r="TX104" s="23"/>
      <c r="TY104" s="23"/>
      <c r="TZ104" s="23"/>
      <c r="UA104" s="23"/>
      <c r="UB104" s="23"/>
      <c r="UC104" s="23"/>
      <c r="UD104" s="23"/>
      <c r="UE104" s="23"/>
      <c r="UF104" s="23"/>
      <c r="UG104" s="23"/>
      <c r="UH104" s="23"/>
      <c r="UI104" s="23"/>
      <c r="UJ104" s="23"/>
      <c r="UK104" s="23"/>
      <c r="UL104" s="23"/>
      <c r="UM104" s="23"/>
      <c r="UN104" s="23"/>
      <c r="UO104" s="23"/>
      <c r="UP104" s="23"/>
      <c r="UQ104" s="23"/>
      <c r="UR104" s="23"/>
      <c r="US104" s="23"/>
      <c r="UT104" s="23"/>
      <c r="UU104" s="23"/>
      <c r="UV104" s="23"/>
      <c r="UW104" s="23"/>
      <c r="UX104" s="23"/>
      <c r="UY104" s="23"/>
      <c r="UZ104" s="23"/>
      <c r="VA104" s="23"/>
      <c r="VB104" s="23"/>
      <c r="VC104" s="23"/>
      <c r="VD104" s="23"/>
      <c r="VE104" s="23"/>
      <c r="VF104" s="23"/>
      <c r="VG104" s="23"/>
      <c r="VH104" s="23"/>
      <c r="VI104" s="23"/>
      <c r="VJ104" s="23"/>
      <c r="VK104" s="23"/>
      <c r="VL104" s="23"/>
      <c r="VM104" s="23"/>
      <c r="VN104" s="23"/>
      <c r="VO104" s="23"/>
      <c r="VP104" s="23"/>
      <c r="VQ104" s="23"/>
      <c r="VR104" s="23"/>
      <c r="VS104" s="23"/>
      <c r="VT104" s="23"/>
      <c r="VU104" s="23"/>
      <c r="VV104" s="23"/>
      <c r="VW104" s="23"/>
      <c r="VX104" s="23"/>
      <c r="VY104" s="23"/>
      <c r="VZ104" s="23"/>
      <c r="WA104" s="23"/>
      <c r="WB104" s="23"/>
      <c r="WC104" s="23"/>
      <c r="WD104" s="23"/>
      <c r="WE104" s="23"/>
      <c r="WF104" s="23"/>
      <c r="WG104" s="23"/>
      <c r="WH104" s="23"/>
      <c r="WI104" s="23"/>
      <c r="WJ104" s="23"/>
      <c r="WK104" s="23"/>
      <c r="WL104" s="23"/>
      <c r="WM104" s="23"/>
      <c r="WN104" s="23"/>
      <c r="WO104" s="23"/>
      <c r="WP104" s="23"/>
      <c r="WQ104" s="23"/>
      <c r="WR104" s="23"/>
      <c r="WS104" s="23"/>
      <c r="WT104" s="23"/>
      <c r="WU104" s="23"/>
      <c r="WV104" s="23"/>
      <c r="WW104" s="23"/>
      <c r="WX104" s="23"/>
      <c r="WY104" s="23"/>
      <c r="WZ104" s="23"/>
      <c r="XA104" s="23"/>
      <c r="XB104" s="23"/>
      <c r="XC104" s="23"/>
      <c r="XD104" s="23"/>
      <c r="XE104" s="23"/>
      <c r="XF104" s="23"/>
      <c r="XG104" s="23"/>
      <c r="XH104" s="23"/>
      <c r="XI104" s="23"/>
      <c r="XJ104" s="23"/>
      <c r="XK104" s="23"/>
      <c r="XL104" s="23"/>
      <c r="XM104" s="23"/>
      <c r="XN104" s="23"/>
      <c r="XO104" s="23"/>
      <c r="XP104" s="23"/>
      <c r="XQ104" s="23"/>
      <c r="XR104" s="23"/>
      <c r="XS104" s="23"/>
      <c r="XT104" s="23"/>
      <c r="XU104" s="23"/>
      <c r="XV104" s="23"/>
      <c r="XW104" s="23"/>
      <c r="XX104" s="23"/>
      <c r="XY104" s="23"/>
      <c r="XZ104" s="23"/>
      <c r="YA104" s="23"/>
      <c r="YB104" s="23"/>
      <c r="YC104" s="23"/>
      <c r="YD104" s="23"/>
      <c r="YE104" s="23"/>
      <c r="YF104" s="23"/>
      <c r="YG104" s="23"/>
      <c r="YH104" s="23"/>
      <c r="YI104" s="23"/>
      <c r="YJ104" s="23"/>
      <c r="YK104" s="23"/>
      <c r="YL104" s="23"/>
      <c r="YM104" s="23"/>
      <c r="YN104" s="23"/>
      <c r="YO104" s="23"/>
      <c r="YP104" s="23"/>
      <c r="YQ104" s="23"/>
      <c r="YR104" s="23"/>
      <c r="YS104" s="23"/>
      <c r="YT104" s="23"/>
      <c r="YU104" s="23"/>
      <c r="YV104" s="23"/>
      <c r="YW104" s="23"/>
      <c r="YX104" s="23"/>
      <c r="YY104" s="23"/>
      <c r="YZ104" s="23"/>
      <c r="ZA104" s="23"/>
      <c r="ZB104" s="23"/>
      <c r="ZC104" s="23"/>
      <c r="ZD104" s="23"/>
      <c r="ZE104" s="23"/>
      <c r="ZF104" s="23"/>
      <c r="ZG104" s="23"/>
      <c r="ZH104" s="23"/>
      <c r="ZI104" s="23"/>
      <c r="ZJ104" s="23"/>
      <c r="ZK104" s="23"/>
      <c r="ZL104" s="23"/>
      <c r="ZM104" s="23"/>
      <c r="ZN104" s="23"/>
      <c r="ZO104" s="23"/>
      <c r="ZP104" s="23"/>
      <c r="ZQ104" s="23"/>
      <c r="ZR104" s="23"/>
      <c r="ZS104" s="23"/>
      <c r="ZT104" s="23"/>
      <c r="ZU104" s="23"/>
      <c r="ZV104" s="23"/>
      <c r="ZW104" s="23"/>
      <c r="ZX104" s="23"/>
      <c r="ZY104" s="23"/>
      <c r="ZZ104" s="23"/>
      <c r="AAA104" s="23"/>
      <c r="AAB104" s="23"/>
      <c r="AAC104" s="23"/>
      <c r="AAD104" s="23"/>
      <c r="AAE104" s="23"/>
      <c r="AAF104" s="23"/>
      <c r="AAG104" s="23"/>
      <c r="AAH104" s="23"/>
      <c r="AAI104" s="23"/>
      <c r="AAJ104" s="23"/>
      <c r="AAK104" s="23"/>
      <c r="AAL104" s="23"/>
      <c r="AAM104" s="23"/>
      <c r="AAN104" s="23"/>
      <c r="AAO104" s="23"/>
      <c r="AAP104" s="23"/>
      <c r="AAQ104" s="23"/>
      <c r="AAR104" s="23"/>
      <c r="AAS104" s="23"/>
      <c r="AAT104" s="23"/>
      <c r="AAU104" s="23"/>
      <c r="AAV104" s="23"/>
      <c r="AAW104" s="23"/>
      <c r="AAX104" s="23"/>
      <c r="AAY104" s="23"/>
      <c r="AAZ104" s="23"/>
      <c r="ABA104" s="23"/>
      <c r="ABB104" s="23"/>
      <c r="ABC104" s="23"/>
      <c r="ABD104" s="23"/>
      <c r="ABE104" s="23"/>
      <c r="ABF104" s="23"/>
      <c r="ABG104" s="23"/>
      <c r="ABH104" s="23"/>
      <c r="ABI104" s="23"/>
      <c r="ABJ104" s="23"/>
      <c r="ABK104" s="23"/>
      <c r="ABL104" s="23"/>
      <c r="ABM104" s="23"/>
      <c r="ABN104" s="23"/>
      <c r="ABO104" s="23"/>
      <c r="ABP104" s="23"/>
      <c r="ABQ104" s="23"/>
      <c r="ABR104" s="23"/>
      <c r="ABS104" s="23"/>
      <c r="ABT104" s="23"/>
      <c r="ABU104" s="23"/>
      <c r="ABV104" s="23"/>
      <c r="ABW104" s="23"/>
      <c r="ABX104" s="23"/>
      <c r="ABY104" s="23"/>
      <c r="ABZ104" s="23"/>
      <c r="ACA104" s="23"/>
      <c r="ACB104" s="23"/>
      <c r="ACC104" s="23"/>
      <c r="ACD104" s="23"/>
      <c r="ACE104" s="23"/>
      <c r="ACF104" s="23"/>
      <c r="ACG104" s="23"/>
      <c r="ACH104" s="23"/>
      <c r="ACI104" s="23"/>
      <c r="ACJ104" s="23"/>
      <c r="ACK104" s="23"/>
      <c r="ACL104" s="23"/>
      <c r="ACM104" s="23"/>
      <c r="ACN104" s="23"/>
      <c r="ACO104" s="23"/>
      <c r="ACP104" s="23"/>
      <c r="ACQ104" s="23"/>
      <c r="ACR104" s="23"/>
      <c r="ACS104" s="23"/>
      <c r="ACT104" s="23"/>
      <c r="ACU104" s="23"/>
      <c r="ACV104" s="23"/>
      <c r="ACW104" s="23"/>
      <c r="ACX104" s="23"/>
      <c r="ACY104" s="23"/>
      <c r="ACZ104" s="23"/>
      <c r="ADA104" s="23"/>
      <c r="ADB104" s="23"/>
      <c r="ADC104" s="23"/>
      <c r="ADD104" s="23"/>
      <c r="ADE104" s="23"/>
      <c r="ADF104" s="23"/>
      <c r="ADG104" s="23"/>
      <c r="ADH104" s="23"/>
      <c r="ADI104" s="23"/>
      <c r="ADJ104" s="23"/>
      <c r="ADK104" s="23"/>
      <c r="ADL104" s="23"/>
      <c r="ADM104" s="23"/>
      <c r="ADN104" s="23"/>
      <c r="ADO104" s="23"/>
      <c r="ADP104" s="23"/>
      <c r="ADQ104" s="23"/>
      <c r="ADR104" s="23"/>
      <c r="ADS104" s="23"/>
      <c r="ADT104" s="23"/>
      <c r="ADU104" s="23"/>
      <c r="ADV104" s="23"/>
      <c r="ADW104" s="23"/>
      <c r="ADX104" s="23"/>
      <c r="ADY104" s="23"/>
      <c r="ADZ104" s="23"/>
      <c r="AEA104" s="23"/>
      <c r="AEB104" s="23"/>
      <c r="AEC104" s="23"/>
      <c r="AED104" s="23"/>
      <c r="AEE104" s="23"/>
      <c r="AEF104" s="23"/>
      <c r="AEG104" s="23"/>
      <c r="AEH104" s="23"/>
      <c r="AEI104" s="23"/>
      <c r="AEJ104" s="23"/>
      <c r="AEK104" s="23"/>
      <c r="AEL104" s="23"/>
      <c r="AEM104" s="23"/>
      <c r="AEN104" s="23"/>
      <c r="AEO104" s="23"/>
      <c r="AEP104" s="23"/>
      <c r="AEQ104" s="23"/>
      <c r="AER104" s="23"/>
      <c r="AES104" s="23"/>
      <c r="AET104" s="23"/>
      <c r="AEU104" s="23"/>
      <c r="AEV104" s="23"/>
      <c r="AEW104" s="23"/>
      <c r="AEX104" s="23"/>
      <c r="AEY104" s="23"/>
      <c r="AEZ104" s="23"/>
      <c r="AFA104" s="23"/>
      <c r="AFB104" s="23"/>
      <c r="AFC104" s="23"/>
      <c r="AFD104" s="23"/>
      <c r="AFE104" s="23"/>
      <c r="AFF104" s="23"/>
      <c r="AFG104" s="23"/>
      <c r="AFH104" s="23"/>
      <c r="AFI104" s="23"/>
      <c r="AFJ104" s="23"/>
      <c r="AFK104" s="23"/>
      <c r="AFL104" s="23"/>
      <c r="AFM104" s="23"/>
      <c r="AFN104" s="23"/>
      <c r="AFO104" s="23"/>
      <c r="AFP104" s="23"/>
      <c r="AFQ104" s="23"/>
      <c r="AFR104" s="23"/>
      <c r="AFS104" s="23"/>
      <c r="AFT104" s="23"/>
      <c r="AFU104" s="23"/>
      <c r="AFV104" s="23"/>
      <c r="AFW104" s="23"/>
      <c r="AFX104" s="23"/>
      <c r="AFY104" s="23"/>
      <c r="AFZ104" s="23"/>
      <c r="AGA104" s="23"/>
      <c r="AGB104" s="23"/>
      <c r="AGC104" s="23"/>
      <c r="AGD104" s="23"/>
      <c r="AGE104" s="23"/>
      <c r="AGF104" s="23"/>
      <c r="AGG104" s="23"/>
      <c r="AGH104" s="23"/>
      <c r="AGI104" s="23"/>
      <c r="AGJ104" s="23"/>
      <c r="AGK104" s="23"/>
      <c r="AGL104" s="23"/>
      <c r="AGM104" s="23"/>
      <c r="AGN104" s="23"/>
      <c r="AGO104" s="23"/>
      <c r="AGP104" s="23"/>
      <c r="AGQ104" s="23"/>
      <c r="AGR104" s="23"/>
      <c r="AGS104" s="23"/>
      <c r="AGT104" s="23"/>
      <c r="AGU104" s="23"/>
      <c r="AGV104" s="23"/>
      <c r="AGW104" s="23"/>
      <c r="AGX104" s="23"/>
      <c r="AGY104" s="23"/>
      <c r="AGZ104" s="23"/>
      <c r="AHA104" s="23"/>
      <c r="AHB104" s="23"/>
      <c r="AHC104" s="23"/>
      <c r="AHD104" s="23"/>
      <c r="AHE104" s="23"/>
      <c r="AHF104" s="23"/>
      <c r="AHG104" s="23"/>
      <c r="AHH104" s="23"/>
      <c r="AHI104" s="23"/>
      <c r="AHJ104" s="23"/>
      <c r="AHK104" s="23"/>
      <c r="AHL104" s="23"/>
      <c r="AHM104" s="23"/>
      <c r="AHN104" s="23"/>
      <c r="AHO104" s="23"/>
      <c r="AHP104" s="23"/>
      <c r="AHQ104" s="23"/>
      <c r="AHR104" s="23"/>
      <c r="AHS104" s="23"/>
      <c r="AHT104" s="23"/>
      <c r="AHU104" s="23"/>
      <c r="AHV104" s="23"/>
      <c r="AHW104" s="23"/>
      <c r="AHX104" s="23"/>
      <c r="AHY104" s="23"/>
      <c r="AHZ104" s="23"/>
      <c r="AIA104" s="23"/>
      <c r="AIB104" s="23"/>
      <c r="AIC104" s="23"/>
      <c r="AID104" s="23"/>
      <c r="AIE104" s="23"/>
      <c r="AIF104" s="23"/>
      <c r="AIG104" s="23"/>
      <c r="AIH104" s="23"/>
      <c r="AII104" s="23"/>
      <c r="AIJ104" s="23"/>
      <c r="AIK104" s="23"/>
      <c r="AIL104" s="23"/>
      <c r="AIM104" s="23"/>
      <c r="AIN104" s="23"/>
      <c r="AIO104" s="23"/>
      <c r="AIP104" s="23"/>
      <c r="AIQ104" s="23"/>
      <c r="AIR104" s="23"/>
      <c r="AIS104" s="23"/>
      <c r="AIT104" s="23"/>
      <c r="AIU104" s="23"/>
      <c r="AIV104" s="23"/>
      <c r="AIW104" s="23"/>
      <c r="AIX104" s="23"/>
      <c r="AIY104" s="23"/>
      <c r="AIZ104" s="23"/>
      <c r="AJA104" s="23"/>
      <c r="AJB104" s="23"/>
      <c r="AJC104" s="23"/>
      <c r="AJD104" s="23"/>
      <c r="AJE104" s="23"/>
      <c r="AJF104" s="23"/>
      <c r="AJG104" s="23"/>
      <c r="AJH104" s="23"/>
      <c r="AJI104" s="23"/>
      <c r="AJJ104" s="23"/>
      <c r="AJK104" s="23"/>
      <c r="AJL104" s="23"/>
      <c r="AJM104" s="23"/>
      <c r="AJN104" s="23"/>
      <c r="AJO104" s="23"/>
      <c r="AJP104" s="23"/>
      <c r="AJQ104" s="23"/>
      <c r="AJR104" s="23"/>
      <c r="AJS104" s="23"/>
      <c r="AJT104" s="23"/>
      <c r="AJU104" s="23"/>
      <c r="AJV104" s="23"/>
      <c r="AJW104" s="23"/>
      <c r="AJX104" s="23"/>
      <c r="AJY104" s="23"/>
      <c r="AJZ104" s="23"/>
      <c r="AKA104" s="23"/>
      <c r="AKB104" s="23"/>
      <c r="AKC104" s="23"/>
      <c r="AKD104" s="23"/>
      <c r="AKE104" s="23"/>
      <c r="AKF104" s="23"/>
      <c r="AKG104" s="23"/>
      <c r="AKH104" s="23"/>
      <c r="AKI104" s="23"/>
      <c r="AKJ104" s="23"/>
      <c r="AKK104" s="23"/>
      <c r="AKL104" s="23"/>
      <c r="AKM104" s="23"/>
      <c r="AKN104" s="23"/>
      <c r="AKO104" s="23"/>
      <c r="AKP104" s="23"/>
      <c r="AKQ104" s="23"/>
      <c r="AKR104" s="23"/>
      <c r="AKS104" s="23"/>
      <c r="AKT104" s="23"/>
      <c r="AKU104" s="23"/>
      <c r="AKV104" s="23"/>
      <c r="AKW104" s="23"/>
      <c r="AKX104" s="23"/>
      <c r="AKY104" s="23"/>
      <c r="AKZ104" s="23"/>
      <c r="ALA104" s="23"/>
      <c r="ALB104" s="23"/>
      <c r="ALC104" s="23"/>
      <c r="ALD104" s="23"/>
      <c r="ALE104" s="23"/>
      <c r="ALF104" s="23"/>
      <c r="ALG104" s="23"/>
      <c r="ALH104" s="23"/>
      <c r="ALI104" s="23"/>
      <c r="ALJ104" s="23"/>
      <c r="ALK104" s="23"/>
      <c r="ALL104" s="23"/>
      <c r="ALM104" s="23"/>
      <c r="ALN104" s="23"/>
      <c r="ALO104" s="23"/>
      <c r="ALP104" s="23"/>
      <c r="ALQ104" s="23"/>
      <c r="ALR104" s="23"/>
      <c r="ALS104" s="23"/>
      <c r="ALT104" s="23"/>
      <c r="ALU104" s="23"/>
      <c r="ALV104" s="23"/>
      <c r="ALW104" s="23"/>
      <c r="ALX104" s="23"/>
      <c r="ALY104" s="23"/>
      <c r="ALZ104" s="23"/>
      <c r="AMA104" s="23"/>
      <c r="AMB104" s="23"/>
      <c r="AMC104" s="23"/>
      <c r="AMD104" s="23"/>
      <c r="AME104" s="23"/>
      <c r="AMF104" s="23"/>
      <c r="AMG104" s="23"/>
      <c r="AMH104" s="23"/>
      <c r="AMI104" s="23"/>
      <c r="AMJ104" s="23"/>
    </row>
    <row r="105" spans="1:1024" s="106" customFormat="1" ht="16.899999999999999" customHeight="1">
      <c r="A105" s="17"/>
      <c r="B105" s="17"/>
      <c r="C105" s="17"/>
      <c r="D105" s="65" t="s">
        <v>137</v>
      </c>
      <c r="E105" s="57">
        <f t="shared" ref="E105:P105" si="34">E96+E12</f>
        <v>88962050</v>
      </c>
      <c r="F105" s="57">
        <f t="shared" si="34"/>
        <v>87962050</v>
      </c>
      <c r="G105" s="57">
        <f t="shared" si="34"/>
        <v>48612325</v>
      </c>
      <c r="H105" s="57">
        <f t="shared" si="34"/>
        <v>8292130</v>
      </c>
      <c r="I105" s="57">
        <f t="shared" si="34"/>
        <v>0</v>
      </c>
      <c r="J105" s="57">
        <f t="shared" si="34"/>
        <v>16860107</v>
      </c>
      <c r="K105" s="57">
        <f t="shared" si="34"/>
        <v>16116107</v>
      </c>
      <c r="L105" s="57">
        <f t="shared" si="34"/>
        <v>744000</v>
      </c>
      <c r="M105" s="57">
        <f t="shared" si="34"/>
        <v>1000</v>
      </c>
      <c r="N105" s="57">
        <f t="shared" si="34"/>
        <v>0</v>
      </c>
      <c r="O105" s="57">
        <f t="shared" si="34"/>
        <v>16116107</v>
      </c>
      <c r="P105" s="57">
        <f t="shared" si="34"/>
        <v>105822157</v>
      </c>
      <c r="Q105" s="57" t="e">
        <f>Q14+Q17+Q38+Q43+Q68+Q72+Q75+#REF!+#REF!+#REF!+Q102+#REF!+#REF!</f>
        <v>#REF!</v>
      </c>
      <c r="R105" s="57" t="e">
        <f>R14+R17+R38+R43+R68+R72+R75+#REF!+#REF!+#REF!+R102+#REF!+#REF!</f>
        <v>#REF!</v>
      </c>
    </row>
    <row r="106" spans="1:1024" s="106" customFormat="1" ht="16.899999999999999" customHeight="1">
      <c r="A106" s="126"/>
      <c r="B106" s="126"/>
      <c r="C106" s="126"/>
      <c r="D106" s="127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</row>
    <row r="107" spans="1:1024" s="131" customFormat="1" ht="38.25" customHeight="1">
      <c r="A107" s="129"/>
      <c r="B107" s="129"/>
      <c r="C107" s="150" t="s">
        <v>6</v>
      </c>
      <c r="D107" s="150"/>
      <c r="E107" s="130"/>
      <c r="G107" s="132"/>
      <c r="H107" s="149" t="s">
        <v>7</v>
      </c>
      <c r="I107" s="149"/>
      <c r="J107" s="149"/>
      <c r="K107" s="132"/>
      <c r="L107" s="132"/>
    </row>
    <row r="108" spans="1:1024" ht="39" customHeight="1">
      <c r="F108" s="134">
        <f>E101</f>
        <v>1000000</v>
      </c>
      <c r="G108" s="133" t="s">
        <v>138</v>
      </c>
      <c r="J108" s="134"/>
    </row>
    <row r="109" spans="1:1024">
      <c r="F109" s="135">
        <f>F108/E105*100</f>
        <v>1.1240748161716148</v>
      </c>
    </row>
    <row r="110" spans="1:1024" ht="21" customHeight="1">
      <c r="F110" s="23"/>
    </row>
    <row r="111" spans="1:1024" ht="16.5" customHeight="1">
      <c r="D111" s="135">
        <f>500000/E105*100</f>
        <v>0.56203740808580738</v>
      </c>
      <c r="E111" s="133" t="s">
        <v>148</v>
      </c>
      <c r="F111" s="134">
        <v>500000</v>
      </c>
    </row>
    <row r="112" spans="1:1024" ht="54" customHeight="1">
      <c r="E112" s="133" t="s">
        <v>144</v>
      </c>
      <c r="F112" s="134">
        <f>E105-'дод.1 для контролю '!F1</f>
        <v>730500</v>
      </c>
    </row>
    <row r="113" spans="4:6" ht="16.899999999999999" customHeight="1">
      <c r="E113" s="133" t="s">
        <v>145</v>
      </c>
      <c r="F113" s="134">
        <f>J105-'дод.1 для контролю '!G1</f>
        <v>16170107</v>
      </c>
    </row>
    <row r="114" spans="4:6" ht="29.25" customHeight="1">
      <c r="F114" s="134">
        <f>SUM(F112:F113)</f>
        <v>16900607</v>
      </c>
    </row>
    <row r="115" spans="4:6" ht="40.5" customHeight="1"/>
    <row r="116" spans="4:6" ht="28.5" customHeight="1"/>
    <row r="117" spans="4:6" ht="66.599999999999994" customHeight="1"/>
    <row r="118" spans="4:6" ht="34.15" customHeight="1"/>
    <row r="119" spans="4:6" ht="58.15" customHeight="1"/>
    <row r="120" spans="4:6" ht="58.15" customHeight="1">
      <c r="D120" s="136"/>
      <c r="E120" s="134"/>
    </row>
    <row r="121" spans="4:6" ht="19.899999999999999" customHeight="1">
      <c r="D121" s="136"/>
      <c r="E121" s="134"/>
      <c r="F121" s="134"/>
    </row>
    <row r="122" spans="4:6" ht="40.15" customHeight="1">
      <c r="D122" s="136"/>
    </row>
    <row r="123" spans="4:6" ht="40.15" customHeight="1"/>
    <row r="124" spans="4:6" ht="49.15" customHeight="1"/>
    <row r="125" spans="4:6" ht="16.149999999999999" customHeight="1"/>
    <row r="126" spans="4:6" ht="16.149999999999999" customHeight="1"/>
    <row r="127" spans="4:6" ht="42.75" customHeight="1"/>
    <row r="128" spans="4:6" ht="17.45" customHeight="1"/>
    <row r="129" ht="15" hidden="1" customHeight="1"/>
    <row r="130" ht="61.9" customHeight="1"/>
    <row r="131" ht="27" customHeight="1"/>
    <row r="132" ht="35.25" customHeight="1"/>
    <row r="133" ht="60" customHeight="1"/>
    <row r="134" ht="27" customHeight="1"/>
    <row r="135" ht="54.75" customHeight="1"/>
    <row r="136" ht="23.45" customHeight="1"/>
    <row r="137" ht="15" hidden="1" customHeight="1"/>
    <row r="138" ht="77.45" customHeight="1"/>
    <row r="139" ht="24.75" customHeight="1"/>
    <row r="140" ht="18" customHeight="1"/>
    <row r="141" ht="118.15" customHeight="1"/>
    <row r="142" ht="20.45" customHeight="1"/>
    <row r="143" ht="52.5" customHeight="1"/>
    <row r="144" ht="51.75" customHeight="1"/>
    <row r="145" ht="25.5" customHeight="1"/>
    <row r="146" ht="51.75" customHeight="1"/>
    <row r="147" ht="57.75" customHeight="1"/>
    <row r="148" ht="28.9" customHeight="1"/>
    <row r="149" ht="25.5" customHeight="1"/>
    <row r="150" ht="25.5" customHeight="1"/>
    <row r="151" ht="18" customHeight="1"/>
    <row r="152" ht="20.45" customHeight="1"/>
    <row r="154" ht="25.5" customHeight="1"/>
    <row r="155" ht="25.5" customHeight="1"/>
    <row r="156" ht="25.5" customHeight="1"/>
  </sheetData>
  <mergeCells count="88">
    <mergeCell ref="P91:P93"/>
    <mergeCell ref="E92:E93"/>
    <mergeCell ref="F92:F93"/>
    <mergeCell ref="G92:H92"/>
    <mergeCell ref="I92:I93"/>
    <mergeCell ref="J92:J93"/>
    <mergeCell ref="K92:K93"/>
    <mergeCell ref="L92:L93"/>
    <mergeCell ref="M92:N92"/>
    <mergeCell ref="O92:O93"/>
    <mergeCell ref="J91:O91"/>
    <mergeCell ref="H107:J107"/>
    <mergeCell ref="A91:A93"/>
    <mergeCell ref="B91:B93"/>
    <mergeCell ref="C91:C93"/>
    <mergeCell ref="D91:D93"/>
    <mergeCell ref="E91:I91"/>
    <mergeCell ref="C107:D107"/>
    <mergeCell ref="J2:P3"/>
    <mergeCell ref="L4:P4"/>
    <mergeCell ref="P64:P66"/>
    <mergeCell ref="E65:E66"/>
    <mergeCell ref="F65:F66"/>
    <mergeCell ref="G65:H65"/>
    <mergeCell ref="I65:I66"/>
    <mergeCell ref="J65:J66"/>
    <mergeCell ref="K65:K66"/>
    <mergeCell ref="L65:L66"/>
    <mergeCell ref="M65:N65"/>
    <mergeCell ref="O65:O66"/>
    <mergeCell ref="P45:P47"/>
    <mergeCell ref="E46:E47"/>
    <mergeCell ref="E8:I8"/>
    <mergeCell ref="J8:O8"/>
    <mergeCell ref="A45:A47"/>
    <mergeCell ref="B45:B47"/>
    <mergeCell ref="C45:C47"/>
    <mergeCell ref="D45:D47"/>
    <mergeCell ref="E45:I45"/>
    <mergeCell ref="A64:A66"/>
    <mergeCell ref="B64:B66"/>
    <mergeCell ref="C64:C66"/>
    <mergeCell ref="D64:D66"/>
    <mergeCell ref="E64:I64"/>
    <mergeCell ref="P8:P10"/>
    <mergeCell ref="E9:E10"/>
    <mergeCell ref="F9:F10"/>
    <mergeCell ref="G9:H9"/>
    <mergeCell ref="I9:I10"/>
    <mergeCell ref="J9:J10"/>
    <mergeCell ref="K9:K10"/>
    <mergeCell ref="L9:L10"/>
    <mergeCell ref="M9:N9"/>
    <mergeCell ref="O9:O10"/>
    <mergeCell ref="A7:B7"/>
    <mergeCell ref="A8:A10"/>
    <mergeCell ref="B8:B10"/>
    <mergeCell ref="C8:C10"/>
    <mergeCell ref="D8:D10"/>
    <mergeCell ref="K1:P1"/>
    <mergeCell ref="A5:P5"/>
    <mergeCell ref="A6:B6"/>
    <mergeCell ref="J27:O27"/>
    <mergeCell ref="P27:P29"/>
    <mergeCell ref="E28:E29"/>
    <mergeCell ref="F28:F29"/>
    <mergeCell ref="G28:H28"/>
    <mergeCell ref="I28:I29"/>
    <mergeCell ref="J28:J29"/>
    <mergeCell ref="K28:K29"/>
    <mergeCell ref="L28:L29"/>
    <mergeCell ref="M28:N28"/>
    <mergeCell ref="O28:O29"/>
    <mergeCell ref="A27:A29"/>
    <mergeCell ref="B27:B29"/>
    <mergeCell ref="C27:C29"/>
    <mergeCell ref="D27:D29"/>
    <mergeCell ref="E27:I27"/>
    <mergeCell ref="J45:O45"/>
    <mergeCell ref="J64:O64"/>
    <mergeCell ref="J46:J47"/>
    <mergeCell ref="K46:K47"/>
    <mergeCell ref="L46:L47"/>
    <mergeCell ref="M46:N46"/>
    <mergeCell ref="O46:O47"/>
    <mergeCell ref="I46:I47"/>
    <mergeCell ref="F46:F47"/>
    <mergeCell ref="G46:H46"/>
  </mergeCells>
  <pageMargins left="0.7" right="0.7" top="0.75" bottom="0.75" header="0.51180555555555496" footer="0.51180555555555496"/>
  <pageSetup paperSize="9" scale="64" firstPageNumber="0" orientation="landscape" r:id="rId1"/>
  <rowBreaks count="4" manualBreakCount="4">
    <brk id="26" max="16383" man="1"/>
    <brk id="44" min="3" max="15" man="1"/>
    <brk id="63" min="3" max="15" man="1"/>
    <brk id="90" min="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"/>
  <sheetViews>
    <sheetView view="pageBreakPreview" topLeftCell="B1" zoomScale="145" zoomScaleNormal="100" zoomScaleSheetLayoutView="145" zoomScalePageLayoutView="95" workbookViewId="0">
      <selection activeCell="B3" sqref="A3:XFD3"/>
    </sheetView>
  </sheetViews>
  <sheetFormatPr defaultRowHeight="15"/>
  <cols>
    <col min="1" max="1" width="8.85546875" style="1" hidden="1" customWidth="1"/>
    <col min="2" max="2" width="9.42578125" style="1" customWidth="1"/>
    <col min="3" max="3" width="46.570312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9.42578125" style="1" customWidth="1"/>
    <col min="8" max="8" width="8.85546875" style="1" customWidth="1"/>
    <col min="9" max="9" width="4.42578125" style="1" customWidth="1"/>
    <col min="10" max="256" width="9.140625" style="1" customWidth="1"/>
    <col min="257" max="257" width="9.140625" style="1" hidden="1" customWidth="1"/>
    <col min="258" max="258" width="8.5703125" style="1" customWidth="1"/>
    <col min="259" max="259" width="46.5703125" style="1" customWidth="1"/>
    <col min="260" max="261" width="10.140625" style="1" customWidth="1"/>
    <col min="262" max="262" width="9.85546875" style="1" customWidth="1"/>
    <col min="263" max="263" width="8" style="1" customWidth="1"/>
    <col min="264" max="265" width="9.140625" style="1" hidden="1" customWidth="1"/>
    <col min="266" max="512" width="9.140625" style="1" customWidth="1"/>
    <col min="513" max="513" width="9.140625" style="1" hidden="1" customWidth="1"/>
    <col min="514" max="514" width="8.5703125" style="1" customWidth="1"/>
    <col min="515" max="515" width="46.5703125" style="1" customWidth="1"/>
    <col min="516" max="517" width="10.140625" style="1" customWidth="1"/>
    <col min="518" max="518" width="9.85546875" style="1" customWidth="1"/>
    <col min="519" max="519" width="8" style="1" customWidth="1"/>
    <col min="520" max="521" width="9.140625" style="1" hidden="1" customWidth="1"/>
    <col min="522" max="768" width="9.140625" style="1" customWidth="1"/>
    <col min="769" max="769" width="9.140625" style="1" hidden="1" customWidth="1"/>
    <col min="770" max="770" width="8.5703125" style="1" customWidth="1"/>
    <col min="771" max="771" width="46.5703125" style="1" customWidth="1"/>
    <col min="772" max="773" width="10.140625" style="1" customWidth="1"/>
    <col min="774" max="774" width="9.85546875" style="1" customWidth="1"/>
    <col min="775" max="775" width="8" style="1" customWidth="1"/>
    <col min="776" max="777" width="9.140625" style="1" hidden="1" customWidth="1"/>
    <col min="778" max="1025" width="9.140625" style="1" customWidth="1"/>
  </cols>
  <sheetData>
    <row r="1" spans="1:9" s="23" customFormat="1" ht="27.95" customHeight="1">
      <c r="A1" s="24"/>
      <c r="B1" s="26" t="s">
        <v>4</v>
      </c>
      <c r="C1" s="152" t="s">
        <v>5</v>
      </c>
      <c r="D1" s="152"/>
      <c r="E1" s="36">
        <v>88921550</v>
      </c>
      <c r="F1" s="36">
        <v>88231550</v>
      </c>
      <c r="G1" s="36">
        <v>690000</v>
      </c>
      <c r="H1" s="36">
        <v>0</v>
      </c>
      <c r="I1" s="24"/>
    </row>
    <row r="3" spans="1:9" s="25" customFormat="1" ht="14.1" customHeight="1">
      <c r="C3" s="151" t="s">
        <v>6</v>
      </c>
      <c r="D3" s="151"/>
      <c r="F3" s="25" t="s">
        <v>7</v>
      </c>
    </row>
    <row r="4" spans="1:9" s="25" customFormat="1" ht="14.1" customHeight="1"/>
  </sheetData>
  <mergeCells count="2">
    <mergeCell ref="C3:D3"/>
    <mergeCell ref="C1:D1"/>
  </mergeCells>
  <pageMargins left="0.7" right="0.7" top="0.75" bottom="0.75" header="0.51180555555555496" footer="0.51180555555555496"/>
  <pageSetup paperSize="9" scale="77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додаток 3</vt:lpstr>
      <vt:lpstr>дод.1 для контролю </vt:lpstr>
      <vt:lpstr>Лист2</vt:lpstr>
      <vt:lpstr>'дод.1 для контролю '!Область_печати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2023-11-03T08:57:14Z</cp:lastPrinted>
  <dcterms:created xsi:type="dcterms:W3CDTF">2006-09-16T00:00:00Z</dcterms:created>
  <dcterms:modified xsi:type="dcterms:W3CDTF">2023-11-03T08:57:21Z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