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210" yWindow="2085" windowWidth="13650" windowHeight="7440" tabRatio="604"/>
  </bookViews>
  <sheets>
    <sheet name="квітень" sheetId="43" r:id="rId1"/>
    <sheet name="Лист1" sheetId="26" r:id="rId2"/>
  </sheets>
  <calcPr calcId="145621"/>
</workbook>
</file>

<file path=xl/calcChain.xml><?xml version="1.0" encoding="utf-8"?>
<calcChain xmlns="http://schemas.openxmlformats.org/spreadsheetml/2006/main">
  <c r="L25" i="43" l="1"/>
  <c r="W29" i="43"/>
  <c r="U29" i="43"/>
  <c r="G25" i="43"/>
  <c r="I25" i="43"/>
  <c r="S25" i="43" s="1"/>
  <c r="N23" i="43"/>
  <c r="L23" i="43"/>
  <c r="I21" i="43"/>
  <c r="N21" i="43" s="1"/>
  <c r="I20" i="43"/>
  <c r="S20" i="43" s="1"/>
  <c r="I19" i="43"/>
  <c r="L19" i="43" s="1"/>
  <c r="L20" i="43" l="1"/>
  <c r="N19" i="43"/>
  <c r="L21" i="43"/>
  <c r="N20" i="43"/>
  <c r="U20" i="43" s="1"/>
  <c r="W20" i="43" s="1"/>
  <c r="N25" i="43"/>
  <c r="D45" i="43"/>
  <c r="U25" i="43" l="1"/>
  <c r="W25" i="43" s="1"/>
  <c r="U21" i="43" l="1"/>
  <c r="I37" i="43" l="1"/>
  <c r="V37" i="43" s="1"/>
  <c r="I31" i="43"/>
  <c r="V31" i="43" s="1"/>
  <c r="I30" i="43"/>
  <c r="I44" i="43"/>
  <c r="V44" i="43" s="1"/>
  <c r="I43" i="43"/>
  <c r="V43" i="43" s="1"/>
  <c r="I42" i="43"/>
  <c r="I41" i="43"/>
  <c r="V41" i="43" s="1"/>
  <c r="I40" i="43"/>
  <c r="V40" i="43" s="1"/>
  <c r="I39" i="43"/>
  <c r="V39" i="43" s="1"/>
  <c r="I38" i="43"/>
  <c r="I36" i="43"/>
  <c r="V36" i="43" s="1"/>
  <c r="I35" i="43"/>
  <c r="V35" i="43" s="1"/>
  <c r="I34" i="43"/>
  <c r="V34" i="43" s="1"/>
  <c r="I33" i="43"/>
  <c r="V33" i="43" s="1"/>
  <c r="I32" i="43"/>
  <c r="T29" i="43"/>
  <c r="K29" i="43"/>
  <c r="G29" i="43"/>
  <c r="G46" i="43" s="1"/>
  <c r="D29" i="43"/>
  <c r="D46" i="43" s="1"/>
  <c r="R8" i="43" s="1"/>
  <c r="I28" i="43"/>
  <c r="N28" i="43" s="1"/>
  <c r="I27" i="43"/>
  <c r="I26" i="43"/>
  <c r="L26" i="43" s="1"/>
  <c r="I24" i="43"/>
  <c r="U23" i="43"/>
  <c r="I22" i="43"/>
  <c r="I18" i="43"/>
  <c r="H17" i="43"/>
  <c r="H29" i="43" s="1"/>
  <c r="H46" i="43" s="1"/>
  <c r="L18" i="43" l="1"/>
  <c r="S18" i="43"/>
  <c r="U38" i="43"/>
  <c r="V38" i="43"/>
  <c r="V42" i="43"/>
  <c r="K42" i="43"/>
  <c r="U42" i="43" s="1"/>
  <c r="S27" i="43"/>
  <c r="N26" i="43"/>
  <c r="S28" i="43"/>
  <c r="U28" i="43" s="1"/>
  <c r="W28" i="43" s="1"/>
  <c r="N30" i="43"/>
  <c r="U30" i="43" s="1"/>
  <c r="N24" i="43"/>
  <c r="W23" i="43"/>
  <c r="N22" i="43"/>
  <c r="W21" i="43"/>
  <c r="S19" i="43"/>
  <c r="U19" i="43" s="1"/>
  <c r="W19" i="43" s="1"/>
  <c r="N18" i="43"/>
  <c r="K34" i="43"/>
  <c r="U34" i="43" s="1"/>
  <c r="O32" i="43"/>
  <c r="V32" i="43" s="1"/>
  <c r="K36" i="43"/>
  <c r="K35" i="43"/>
  <c r="Q39" i="43"/>
  <c r="U44" i="43"/>
  <c r="W44" i="43" s="1"/>
  <c r="U36" i="43"/>
  <c r="W36" i="43" s="1"/>
  <c r="I45" i="43"/>
  <c r="U31" i="43"/>
  <c r="W31" i="43" s="1"/>
  <c r="I17" i="43"/>
  <c r="L22" i="43"/>
  <c r="S22" i="43"/>
  <c r="L24" i="43"/>
  <c r="N27" i="43"/>
  <c r="U27" i="43" s="1"/>
  <c r="W27" i="43" s="1"/>
  <c r="K33" i="43"/>
  <c r="U33" i="43" s="1"/>
  <c r="U35" i="43"/>
  <c r="W35" i="43" s="1"/>
  <c r="U37" i="43"/>
  <c r="W37" i="43" s="1"/>
  <c r="W38" i="43"/>
  <c r="K39" i="43"/>
  <c r="K40" i="43"/>
  <c r="K41" i="43"/>
  <c r="U41" i="43" s="1"/>
  <c r="W41" i="43" s="1"/>
  <c r="Q43" i="43"/>
  <c r="U43" i="43" s="1"/>
  <c r="W43" i="43" s="1"/>
  <c r="Q40" i="43"/>
  <c r="N45" i="43" l="1"/>
  <c r="U40" i="43"/>
  <c r="W40" i="43" s="1"/>
  <c r="V45" i="43"/>
  <c r="V46" i="43" s="1"/>
  <c r="U18" i="43"/>
  <c r="W18" i="43" s="1"/>
  <c r="O45" i="43"/>
  <c r="O46" i="43" s="1"/>
  <c r="W42" i="43"/>
  <c r="U26" i="43"/>
  <c r="W26" i="43" s="1"/>
  <c r="Q45" i="43"/>
  <c r="Q46" i="43" s="1"/>
  <c r="U24" i="43"/>
  <c r="W24" i="43" s="1"/>
  <c r="W34" i="43"/>
  <c r="U39" i="43"/>
  <c r="W39" i="43" s="1"/>
  <c r="U32" i="43"/>
  <c r="W32" i="43" s="1"/>
  <c r="W30" i="43"/>
  <c r="W33" i="43"/>
  <c r="K45" i="43"/>
  <c r="K46" i="43" s="1"/>
  <c r="U22" i="43"/>
  <c r="W22" i="43" s="1"/>
  <c r="S17" i="43"/>
  <c r="I29" i="43"/>
  <c r="I46" i="43" s="1"/>
  <c r="N17" i="43"/>
  <c r="N29" i="43" s="1"/>
  <c r="N46" i="43" s="1"/>
  <c r="L17" i="43"/>
  <c r="L29" i="43" s="1"/>
  <c r="L46" i="43" s="1"/>
  <c r="W45" i="43" l="1"/>
  <c r="U45" i="43"/>
  <c r="U17" i="43"/>
  <c r="W17" i="43" s="1"/>
  <c r="S29" i="43"/>
  <c r="S46" i="43" s="1"/>
  <c r="W46" i="43" l="1"/>
  <c r="U46" i="43"/>
  <c r="U9" i="43" l="1"/>
</calcChain>
</file>

<file path=xl/comments1.xml><?xml version="1.0" encoding="utf-8"?>
<comments xmlns="http://schemas.openxmlformats.org/spreadsheetml/2006/main">
  <authors>
    <author>podolinna</author>
  </authors>
  <commentList>
    <comment ref="P39" authorId="0">
      <text>
        <r>
          <rPr>
            <b/>
            <sz val="9"/>
            <color indexed="81"/>
            <rFont val="Tahoma"/>
            <family val="2"/>
            <charset val="204"/>
          </rPr>
          <t>podolinna:</t>
        </r>
        <r>
          <rPr>
            <sz val="9"/>
            <color indexed="81"/>
            <rFont val="Tahoma"/>
            <family val="2"/>
            <charset val="204"/>
          </rPr>
          <t xml:space="preserve">
ст.108 КзПП</t>
        </r>
      </text>
    </comment>
  </commentList>
</comments>
</file>

<file path=xl/sharedStrings.xml><?xml version="1.0" encoding="utf-8"?>
<sst xmlns="http://schemas.openxmlformats.org/spreadsheetml/2006/main" count="90" uniqueCount="84">
  <si>
    <t>ЗАТВЕРДЖЕНО:</t>
  </si>
  <si>
    <t>ЗАТВЕРДЖУЮ:</t>
  </si>
  <si>
    <t>штатних одиниць</t>
  </si>
  <si>
    <t>Сільський голова</t>
  </si>
  <si>
    <t>Кількість груп:</t>
  </si>
  <si>
    <t>в т.ч. ясельних:</t>
  </si>
  <si>
    <t>з 10,5 годинним перебуванням дітей</t>
  </si>
  <si>
    <t>Назва  структурного підрозділу  та посад</t>
  </si>
  <si>
    <t>К-сть штатниходиниць</t>
  </si>
  <si>
    <t>Розряд</t>
  </si>
  <si>
    <t>Посадовий оклад</t>
  </si>
  <si>
    <t>Доплата за звання</t>
  </si>
  <si>
    <t>Ставка на посадов.оклад</t>
  </si>
  <si>
    <t>НАДБАВКИ (грн.)</t>
  </si>
  <si>
    <t xml:space="preserve">           ДОПЛАТИ (грн. )</t>
  </si>
  <si>
    <t>Фонд  заробітної плати  на  місяць (грн.)</t>
  </si>
  <si>
    <t>№</t>
  </si>
  <si>
    <t>% надбавки</t>
  </si>
  <si>
    <t>За роботу в нічний час</t>
  </si>
  <si>
    <t>За вислугу років</t>
  </si>
  <si>
    <t>грн.</t>
  </si>
  <si>
    <t>%</t>
  </si>
  <si>
    <t xml:space="preserve">                                               всього</t>
  </si>
  <si>
    <t xml:space="preserve">  ВСЬОГО:</t>
  </si>
  <si>
    <t>код</t>
  </si>
  <si>
    <t>КП</t>
  </si>
  <si>
    <t>Керівник музичний</t>
  </si>
  <si>
    <t>2445.2</t>
  </si>
  <si>
    <t>Практичний психолог</t>
  </si>
  <si>
    <t>2351.2</t>
  </si>
  <si>
    <t xml:space="preserve">Вихователь - методист </t>
  </si>
  <si>
    <t>Інструктор з фізкультури</t>
  </si>
  <si>
    <t xml:space="preserve">Сестра медична </t>
  </si>
  <si>
    <t>всього</t>
  </si>
  <si>
    <t>Кухар 3 р</t>
  </si>
  <si>
    <t>Кухар 5 р</t>
  </si>
  <si>
    <t>Сторож</t>
  </si>
  <si>
    <t>Двірник</t>
  </si>
  <si>
    <t>Комірник</t>
  </si>
  <si>
    <t>3/п</t>
  </si>
  <si>
    <t>Завідувач господарства</t>
  </si>
  <si>
    <t>Підсобний робітник</t>
  </si>
  <si>
    <t>Діловод</t>
  </si>
  <si>
    <t xml:space="preserve"> за 180 дітей</t>
  </si>
  <si>
    <t>ЧЕРКАСЬКОГО РАЙОНУ ЧЕРКАСЬКОЇ ОБЛАСТІ</t>
  </si>
  <si>
    <t xml:space="preserve">БІЛОЗІРСЬКОЇ СІЛЬСЬКОЇ  РАДИ </t>
  </si>
  <si>
    <t>Постанова №373 від 23.01.11</t>
  </si>
  <si>
    <t>Наказ Міністерства фінансів України</t>
  </si>
  <si>
    <t>28.01.2002 року</t>
  </si>
  <si>
    <t>складність, напруженість, інтенсивність</t>
  </si>
  <si>
    <t xml:space="preserve">з місячним фондом заробітної плати </t>
  </si>
  <si>
    <t>штат у кількості</t>
  </si>
  <si>
    <t>Доплата до мінімальної ЗП (грн)</t>
  </si>
  <si>
    <t>10%-30%</t>
  </si>
  <si>
    <t>Прибиральник службових приміщень</t>
  </si>
  <si>
    <t>2455.2</t>
  </si>
  <si>
    <t>Машиніст (кочегар) котельні (сезонний)</t>
  </si>
  <si>
    <t xml:space="preserve">Помічник вихователя </t>
  </si>
  <si>
    <t>Керівник гуртка</t>
  </si>
  <si>
    <t>10%-20%</t>
  </si>
  <si>
    <r>
      <t>12</t>
    </r>
    <r>
      <rPr>
        <sz val="10"/>
        <rFont val="Times New Roman"/>
        <family val="1"/>
        <charset val="204"/>
      </rPr>
      <t>2</t>
    </r>
    <r>
      <rPr>
        <sz val="10"/>
        <rFont val="Times New Roman"/>
        <family val="1"/>
      </rPr>
      <t>9.6</t>
    </r>
  </si>
  <si>
    <t xml:space="preserve"> </t>
  </si>
  <si>
    <t>Машиніст (кочегар) котельні (річний)</t>
  </si>
  <si>
    <t>Слюсар-електромонтажник</t>
  </si>
  <si>
    <t>Машиніст із прання та ремонту спецодягу</t>
  </si>
  <si>
    <t>Робітник з комплексного обслуговування й ремонту будинків</t>
  </si>
  <si>
    <t>Фонд  заробітної плати  на  місяць  з допл. до мінімал. (грн.)</t>
  </si>
  <si>
    <t>20%-30%</t>
  </si>
  <si>
    <t>за ведення військового обліку 20%</t>
  </si>
  <si>
    <t>Вихователь</t>
  </si>
  <si>
    <t>Світлана ЗАГРАНІЧНА</t>
  </si>
  <si>
    <t>Любов ЩУР</t>
  </si>
  <si>
    <t>Наталія ПОДОЛІННА</t>
  </si>
  <si>
    <t xml:space="preserve">Володимир Міцук </t>
  </si>
  <si>
    <t xml:space="preserve">Директор                                                    </t>
  </si>
  <si>
    <t xml:space="preserve"> ЗАКЛАДУ ДОШКІЛЬНОЇ ОСВІТИ</t>
  </si>
  <si>
    <t xml:space="preserve">"ЧЕРВОНА ШАПОЧКА"  </t>
  </si>
  <si>
    <t>Директор закладу дошкільної освіти</t>
  </si>
  <si>
    <t>1210.1</t>
  </si>
  <si>
    <t>Вихователь закладу дошкільної освіти</t>
  </si>
  <si>
    <t>Спеціаліст І категорії</t>
  </si>
  <si>
    <t xml:space="preserve">шкідливість </t>
  </si>
  <si>
    <t xml:space="preserve"> ШТАТНИЙ  РОЗПИС  на  01 квітня  2024 року</t>
  </si>
  <si>
    <t>Рішення сесії №70-17/VIII від 28.03.2024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</si>
</sst>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#,##0&quot;р.&quot;;\-#,##0&quot;р.&quot;"/>
    <numFmt numFmtId="6" formatCode="#,##0&quot;р.&quot;;[Red]\-#,##0&quot;р.&quot;"/>
    <numFmt numFmtId="164" formatCode="#,##0\ &quot;грн.&quot;;[Red]\-#,##0\ &quot;грн.&quot;"/>
    <numFmt numFmtId="165" formatCode="0.0"/>
  </numFmts>
  <fonts count="27" x14ac:knownFonts="1">
    <font>
      <sz val="10"/>
      <name val="Arial Cyr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i/>
      <sz val="9"/>
      <name val="Times New Roman"/>
      <family val="1"/>
      <charset val="204"/>
    </font>
    <font>
      <b/>
      <i/>
      <sz val="8"/>
      <name val="Times New Roman"/>
      <family val="1"/>
    </font>
    <font>
      <b/>
      <sz val="9"/>
      <name val="Times New Roman"/>
      <family val="1"/>
    </font>
    <font>
      <sz val="8"/>
      <name val="Times New Roman"/>
      <family val="1"/>
      <charset val="204"/>
    </font>
    <font>
      <sz val="12"/>
      <name val="Times New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rgb="FFFF0000"/>
      <name val="Times New Roman"/>
      <family val="1"/>
      <charset val="204"/>
    </font>
    <font>
      <sz val="10"/>
      <name val="Comic Sans MS"/>
      <family val="4"/>
      <charset val="204"/>
    </font>
    <font>
      <b/>
      <sz val="10"/>
      <name val="Comic Sans MS"/>
      <family val="4"/>
      <charset val="204"/>
    </font>
    <font>
      <b/>
      <sz val="11"/>
      <name val="Comic Sans MS"/>
      <family val="4"/>
      <charset val="204"/>
    </font>
    <font>
      <sz val="11"/>
      <name val="Comic Sans MS"/>
      <family val="4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3">
    <xf numFmtId="0" fontId="0" fillId="0" borderId="0" xfId="0"/>
    <xf numFmtId="0" fontId="0" fillId="0" borderId="0" xfId="0" applyFill="1"/>
    <xf numFmtId="0" fontId="1" fillId="2" borderId="6" xfId="0" applyFont="1" applyFill="1" applyBorder="1" applyAlignment="1">
      <alignment horizontal="center"/>
    </xf>
    <xf numFmtId="0" fontId="0" fillId="2" borderId="0" xfId="0" applyFill="1"/>
    <xf numFmtId="0" fontId="1" fillId="2" borderId="2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2" fontId="14" fillId="2" borderId="0" xfId="0" applyNumberFormat="1" applyFont="1" applyFill="1" applyBorder="1" applyAlignment="1">
      <alignment horizontal="center"/>
    </xf>
    <xf numFmtId="1" fontId="14" fillId="2" borderId="0" xfId="0" applyNumberFormat="1" applyFont="1" applyFill="1" applyBorder="1" applyAlignment="1">
      <alignment horizontal="center"/>
    </xf>
    <xf numFmtId="49" fontId="14" fillId="2" borderId="0" xfId="0" applyNumberFormat="1" applyFont="1" applyFill="1" applyBorder="1" applyAlignment="1">
      <alignment horizontal="center"/>
    </xf>
    <xf numFmtId="49" fontId="0" fillId="2" borderId="0" xfId="0" applyNumberFormat="1" applyFill="1"/>
    <xf numFmtId="2" fontId="0" fillId="2" borderId="0" xfId="0" applyNumberFormat="1" applyFill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9" fontId="3" fillId="2" borderId="2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3" fillId="2" borderId="6" xfId="0" applyNumberFormat="1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6" fontId="3" fillId="2" borderId="10" xfId="0" applyNumberFormat="1" applyFont="1" applyFill="1" applyBorder="1" applyAlignment="1">
      <alignment horizontal="right" wrapText="1"/>
    </xf>
    <xf numFmtId="0" fontId="1" fillId="2" borderId="1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5" fillId="2" borderId="0" xfId="0" applyFont="1" applyFill="1" applyAlignment="1">
      <alignment horizontal="center"/>
    </xf>
    <xf numFmtId="0" fontId="2" fillId="2" borderId="0" xfId="0" applyFont="1" applyFill="1" applyAlignment="1">
      <alignment horizontal="right"/>
    </xf>
    <xf numFmtId="0" fontId="10" fillId="2" borderId="0" xfId="0" applyFont="1" applyFill="1" applyAlignment="1">
      <alignment horizontal="left"/>
    </xf>
    <xf numFmtId="0" fontId="18" fillId="2" borderId="0" xfId="0" applyFont="1" applyFill="1"/>
    <xf numFmtId="0" fontId="1" fillId="2" borderId="0" xfId="0" applyFont="1" applyFill="1" applyBorder="1" applyAlignment="1">
      <alignment horizontal="center"/>
    </xf>
    <xf numFmtId="2" fontId="15" fillId="2" borderId="0" xfId="0" applyNumberFormat="1" applyFont="1" applyFill="1" applyAlignment="1">
      <alignment horizontal="left"/>
    </xf>
    <xf numFmtId="0" fontId="2" fillId="2" borderId="12" xfId="0" applyFont="1" applyFill="1" applyBorder="1" applyAlignment="1">
      <alignment horizontal="center"/>
    </xf>
    <xf numFmtId="0" fontId="18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19" fillId="2" borderId="0" xfId="0" applyFont="1" applyFill="1" applyAlignment="1">
      <alignment horizontal="left"/>
    </xf>
    <xf numFmtId="0" fontId="18" fillId="2" borderId="0" xfId="0" applyFont="1" applyFill="1" applyAlignment="1">
      <alignment horizontal="left"/>
    </xf>
    <xf numFmtId="0" fontId="1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0" fontId="1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6" fillId="2" borderId="0" xfId="0" applyFont="1" applyFill="1" applyBorder="1" applyAlignment="1">
      <alignment horizontal="center"/>
    </xf>
    <xf numFmtId="2" fontId="17" fillId="2" borderId="0" xfId="0" applyNumberFormat="1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5" fillId="2" borderId="0" xfId="0" applyFont="1" applyFill="1" applyAlignment="1">
      <alignment horizontal="left"/>
    </xf>
    <xf numFmtId="0" fontId="15" fillId="2" borderId="1" xfId="0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14" fillId="2" borderId="0" xfId="0" applyFont="1" applyFill="1" applyAlignment="1">
      <alignment horizontal="left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15" fillId="2" borderId="0" xfId="0" applyFont="1" applyFill="1"/>
    <xf numFmtId="0" fontId="2" fillId="2" borderId="0" xfId="0" applyFont="1" applyFill="1" applyAlignment="1">
      <alignment horizontal="left"/>
    </xf>
    <xf numFmtId="2" fontId="15" fillId="2" borderId="0" xfId="0" applyNumberFormat="1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0" fillId="2" borderId="0" xfId="0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23" fillId="2" borderId="6" xfId="0" applyFont="1" applyFill="1" applyBorder="1" applyAlignment="1">
      <alignment horizontal="center"/>
    </xf>
    <xf numFmtId="2" fontId="23" fillId="2" borderId="6" xfId="0" applyNumberFormat="1" applyFont="1" applyFill="1" applyBorder="1" applyAlignment="1">
      <alignment horizontal="center"/>
    </xf>
    <xf numFmtId="9" fontId="23" fillId="2" borderId="6" xfId="0" applyNumberFormat="1" applyFont="1" applyFill="1" applyBorder="1" applyAlignment="1">
      <alignment horizontal="center"/>
    </xf>
    <xf numFmtId="9" fontId="23" fillId="2" borderId="7" xfId="0" applyNumberFormat="1" applyFont="1" applyFill="1" applyBorder="1" applyAlignment="1">
      <alignment horizontal="center"/>
    </xf>
    <xf numFmtId="2" fontId="23" fillId="2" borderId="7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2" fontId="23" fillId="2" borderId="25" xfId="0" applyNumberFormat="1" applyFont="1" applyFill="1" applyBorder="1" applyAlignment="1">
      <alignment horizontal="center"/>
    </xf>
    <xf numFmtId="165" fontId="23" fillId="2" borderId="7" xfId="0" applyNumberFormat="1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2" fontId="23" fillId="2" borderId="2" xfId="0" applyNumberFormat="1" applyFont="1" applyFill="1" applyBorder="1" applyAlignment="1">
      <alignment horizontal="center"/>
    </xf>
    <xf numFmtId="9" fontId="23" fillId="2" borderId="2" xfId="0" applyNumberFormat="1" applyFont="1" applyFill="1" applyBorder="1" applyAlignment="1">
      <alignment horizontal="center"/>
    </xf>
    <xf numFmtId="2" fontId="23" fillId="2" borderId="11" xfId="0" applyNumberFormat="1" applyFont="1" applyFill="1" applyBorder="1" applyAlignment="1">
      <alignment horizontal="center"/>
    </xf>
    <xf numFmtId="0" fontId="23" fillId="2" borderId="11" xfId="0" applyFont="1" applyFill="1" applyBorder="1" applyAlignment="1">
      <alignment horizontal="center"/>
    </xf>
    <xf numFmtId="2" fontId="23" fillId="2" borderId="28" xfId="0" applyNumberFormat="1" applyFont="1" applyFill="1" applyBorder="1" applyAlignment="1">
      <alignment horizontal="center"/>
    </xf>
    <xf numFmtId="2" fontId="24" fillId="2" borderId="10" xfId="0" applyNumberFormat="1" applyFont="1" applyFill="1" applyBorder="1" applyAlignment="1">
      <alignment horizontal="center"/>
    </xf>
    <xf numFmtId="0" fontId="24" fillId="2" borderId="10" xfId="0" applyFont="1" applyFill="1" applyBorder="1" applyAlignment="1">
      <alignment horizontal="center"/>
    </xf>
    <xf numFmtId="9" fontId="24" fillId="2" borderId="10" xfId="0" applyNumberFormat="1" applyFont="1" applyFill="1" applyBorder="1" applyAlignment="1">
      <alignment horizontal="center"/>
    </xf>
    <xf numFmtId="2" fontId="24" fillId="2" borderId="29" xfId="0" applyNumberFormat="1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2" fontId="23" fillId="2" borderId="4" xfId="0" applyNumberFormat="1" applyFont="1" applyFill="1" applyBorder="1" applyAlignment="1">
      <alignment horizontal="center"/>
    </xf>
    <xf numFmtId="9" fontId="23" fillId="2" borderId="4" xfId="0" applyNumberFormat="1" applyFont="1" applyFill="1" applyBorder="1" applyAlignment="1">
      <alignment horizontal="center"/>
    </xf>
    <xf numFmtId="2" fontId="23" fillId="2" borderId="23" xfId="0" applyNumberFormat="1" applyFont="1" applyFill="1" applyBorder="1" applyAlignment="1">
      <alignment horizontal="center"/>
    </xf>
    <xf numFmtId="2" fontId="23" fillId="2" borderId="21" xfId="0" applyNumberFormat="1" applyFont="1" applyFill="1" applyBorder="1" applyAlignment="1">
      <alignment horizontal="center"/>
    </xf>
    <xf numFmtId="2" fontId="25" fillId="2" borderId="10" xfId="0" applyNumberFormat="1" applyFont="1" applyFill="1" applyBorder="1" applyAlignment="1">
      <alignment horizontal="center"/>
    </xf>
    <xf numFmtId="0" fontId="26" fillId="2" borderId="10" xfId="0" applyFont="1" applyFill="1" applyBorder="1" applyAlignment="1">
      <alignment horizontal="center"/>
    </xf>
    <xf numFmtId="1" fontId="26" fillId="2" borderId="10" xfId="0" applyNumberFormat="1" applyFont="1" applyFill="1" applyBorder="1" applyAlignment="1">
      <alignment horizontal="center"/>
    </xf>
    <xf numFmtId="49" fontId="25" fillId="2" borderId="10" xfId="0" applyNumberFormat="1" applyFont="1" applyFill="1" applyBorder="1" applyAlignment="1">
      <alignment horizontal="center"/>
    </xf>
    <xf numFmtId="1" fontId="25" fillId="2" borderId="10" xfId="0" applyNumberFormat="1" applyFont="1" applyFill="1" applyBorder="1" applyAlignment="1">
      <alignment horizontal="center"/>
    </xf>
    <xf numFmtId="2" fontId="25" fillId="2" borderId="29" xfId="0" applyNumberFormat="1" applyFont="1" applyFill="1" applyBorder="1" applyAlignment="1">
      <alignment horizontal="center"/>
    </xf>
    <xf numFmtId="0" fontId="25" fillId="2" borderId="10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right" wrapText="1"/>
    </xf>
    <xf numFmtId="0" fontId="19" fillId="2" borderId="6" xfId="0" applyNumberFormat="1" applyFont="1" applyFill="1" applyBorder="1" applyAlignment="1">
      <alignment wrapText="1"/>
    </xf>
    <xf numFmtId="0" fontId="19" fillId="2" borderId="6" xfId="0" applyFont="1" applyFill="1" applyBorder="1" applyAlignment="1">
      <alignment wrapText="1"/>
    </xf>
    <xf numFmtId="5" fontId="19" fillId="2" borderId="6" xfId="0" applyNumberFormat="1" applyFont="1" applyFill="1" applyBorder="1" applyAlignment="1">
      <alignment horizontal="left" vertical="center" wrapText="1"/>
    </xf>
    <xf numFmtId="6" fontId="19" fillId="2" borderId="6" xfId="0" applyNumberFormat="1" applyFont="1" applyFill="1" applyBorder="1" applyAlignment="1">
      <alignment wrapText="1"/>
    </xf>
    <xf numFmtId="6" fontId="19" fillId="2" borderId="2" xfId="0" applyNumberFormat="1" applyFont="1" applyFill="1" applyBorder="1" applyAlignment="1">
      <alignment wrapText="1"/>
    </xf>
    <xf numFmtId="0" fontId="19" fillId="2" borderId="4" xfId="0" applyFont="1" applyFill="1" applyBorder="1" applyAlignment="1">
      <alignment wrapText="1"/>
    </xf>
    <xf numFmtId="0" fontId="19" fillId="2" borderId="2" xfId="0" applyFont="1" applyFill="1" applyBorder="1" applyAlignment="1">
      <alignment wrapText="1"/>
    </xf>
    <xf numFmtId="0" fontId="0" fillId="2" borderId="0" xfId="0" applyFill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/>
    </xf>
    <xf numFmtId="0" fontId="22" fillId="2" borderId="0" xfId="0" applyFont="1" applyFill="1" applyAlignment="1">
      <alignment horizontal="left"/>
    </xf>
    <xf numFmtId="0" fontId="18" fillId="2" borderId="27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8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W67"/>
  <sheetViews>
    <sheetView tabSelected="1" zoomScale="80" zoomScaleNormal="80" workbookViewId="0">
      <selection activeCell="P13" sqref="P13:U13"/>
    </sheetView>
  </sheetViews>
  <sheetFormatPr defaultRowHeight="12.75" x14ac:dyDescent="0.2"/>
  <cols>
    <col min="1" max="1" width="4.42578125" style="3" customWidth="1"/>
    <col min="2" max="2" width="7.28515625" style="3" customWidth="1"/>
    <col min="3" max="3" width="28.7109375" style="3" customWidth="1"/>
    <col min="4" max="4" width="7.5703125" style="3" customWidth="1"/>
    <col min="5" max="5" width="6.28515625" style="3" customWidth="1"/>
    <col min="6" max="6" width="7.42578125" style="3" customWidth="1"/>
    <col min="7" max="7" width="9.5703125" style="3" customWidth="1"/>
    <col min="8" max="8" width="8.5703125" style="3" customWidth="1"/>
    <col min="9" max="9" width="12.42578125" style="3" customWidth="1"/>
    <col min="10" max="10" width="5.7109375" style="3" customWidth="1"/>
    <col min="11" max="11" width="12" style="3" customWidth="1"/>
    <col min="12" max="12" width="11" style="3" customWidth="1"/>
    <col min="13" max="13" width="12.28515625" style="3" customWidth="1"/>
    <col min="14" max="14" width="13.140625" style="3" customWidth="1"/>
    <col min="15" max="15" width="8.5703125" style="3" customWidth="1"/>
    <col min="16" max="16" width="6.140625" style="3" customWidth="1"/>
    <col min="17" max="17" width="9.85546875" style="3" customWidth="1"/>
    <col min="18" max="18" width="8.7109375" style="3" customWidth="1"/>
    <col min="19" max="19" width="11.140625" style="3" customWidth="1"/>
    <col min="20" max="20" width="8.5703125" style="3" hidden="1" customWidth="1"/>
    <col min="21" max="21" width="14.85546875" style="3" customWidth="1"/>
    <col min="22" max="22" width="11.7109375" style="3" customWidth="1"/>
    <col min="23" max="23" width="12.140625" style="3" customWidth="1"/>
  </cols>
  <sheetData>
    <row r="1" spans="1:23" x14ac:dyDescent="0.2">
      <c r="V1" s="106"/>
      <c r="W1" s="106"/>
    </row>
    <row r="2" spans="1:23" x14ac:dyDescent="0.2">
      <c r="V2" s="106"/>
      <c r="W2" s="106"/>
    </row>
    <row r="3" spans="1:23" ht="12.75" customHeight="1" x14ac:dyDescent="0.2">
      <c r="C3" s="20"/>
      <c r="D3" s="20"/>
      <c r="E3" s="20"/>
      <c r="F3" s="20"/>
      <c r="G3" s="20"/>
      <c r="H3" s="20"/>
      <c r="I3" s="20"/>
      <c r="J3" s="37"/>
      <c r="K3" s="20"/>
      <c r="L3" s="20"/>
      <c r="M3" s="20"/>
      <c r="N3" s="20"/>
      <c r="O3" s="20"/>
      <c r="P3" s="107" t="s">
        <v>0</v>
      </c>
      <c r="Q3" s="107"/>
      <c r="R3" s="107"/>
      <c r="S3" s="28"/>
      <c r="T3" s="28"/>
      <c r="U3" s="24"/>
      <c r="V3" s="24"/>
      <c r="W3" s="24"/>
    </row>
    <row r="4" spans="1:23" ht="15" x14ac:dyDescent="0.25">
      <c r="C4" s="53" t="s">
        <v>82</v>
      </c>
      <c r="D4" s="54"/>
      <c r="E4" s="20"/>
      <c r="F4" s="20"/>
      <c r="G4" s="20"/>
      <c r="H4" s="20"/>
      <c r="I4" s="101"/>
      <c r="J4" s="43"/>
      <c r="K4" s="29"/>
      <c r="L4" s="29"/>
      <c r="M4" s="29"/>
      <c r="N4" s="29"/>
      <c r="O4" s="29"/>
      <c r="P4" s="30" t="s">
        <v>47</v>
      </c>
      <c r="Q4" s="31"/>
      <c r="R4" s="32"/>
      <c r="S4" s="33"/>
      <c r="T4" s="33"/>
      <c r="U4" s="24"/>
      <c r="V4" s="24"/>
      <c r="W4" s="24"/>
    </row>
    <row r="5" spans="1:23" x14ac:dyDescent="0.2">
      <c r="C5" s="41" t="s">
        <v>75</v>
      </c>
      <c r="D5" s="55"/>
      <c r="E5" s="20"/>
      <c r="F5" s="20"/>
      <c r="G5" s="20"/>
      <c r="H5" s="20"/>
      <c r="I5" s="20"/>
      <c r="J5" s="43"/>
      <c r="K5" s="29"/>
      <c r="L5" s="29"/>
      <c r="M5" s="29"/>
      <c r="N5" s="29"/>
      <c r="O5" s="29"/>
      <c r="P5" s="34" t="s">
        <v>48</v>
      </c>
      <c r="Q5" s="24"/>
      <c r="R5" s="32"/>
      <c r="S5" s="33"/>
      <c r="T5" s="33"/>
      <c r="U5" s="24"/>
      <c r="V5" s="24"/>
      <c r="W5" s="24"/>
    </row>
    <row r="6" spans="1:23" ht="14.25" x14ac:dyDescent="0.2">
      <c r="C6" s="56" t="s">
        <v>76</v>
      </c>
      <c r="E6" s="20"/>
      <c r="F6" s="20"/>
      <c r="G6" s="101"/>
      <c r="H6" s="101"/>
      <c r="I6" s="20"/>
      <c r="J6" s="44"/>
      <c r="K6" s="20"/>
      <c r="L6" s="20"/>
      <c r="M6" s="20"/>
      <c r="N6" s="20"/>
      <c r="O6" s="20"/>
      <c r="P6" s="28"/>
      <c r="Q6" s="28"/>
      <c r="R6" s="28"/>
      <c r="S6" s="28"/>
      <c r="T6" s="28"/>
      <c r="U6" s="24"/>
      <c r="V6" s="24"/>
      <c r="W6" s="24"/>
    </row>
    <row r="7" spans="1:23" ht="15.75" x14ac:dyDescent="0.25">
      <c r="C7" s="41" t="s">
        <v>45</v>
      </c>
      <c r="D7" s="57"/>
      <c r="E7" s="21"/>
      <c r="F7" s="21"/>
      <c r="G7" s="101"/>
      <c r="H7" s="101"/>
      <c r="I7" s="20"/>
      <c r="J7" s="20"/>
      <c r="K7" s="35"/>
      <c r="L7" s="35"/>
      <c r="M7" s="35"/>
      <c r="N7" s="35"/>
      <c r="O7" s="35"/>
      <c r="P7" s="28"/>
      <c r="Q7" s="36" t="s">
        <v>1</v>
      </c>
      <c r="R7" s="31"/>
      <c r="S7" s="28"/>
      <c r="T7" s="28"/>
      <c r="U7" s="24"/>
      <c r="V7" s="24"/>
      <c r="W7" s="24"/>
    </row>
    <row r="8" spans="1:23" s="1" customFormat="1" x14ac:dyDescent="0.2">
      <c r="A8" s="3"/>
      <c r="B8" s="3"/>
      <c r="C8" s="56" t="s">
        <v>44</v>
      </c>
      <c r="D8" s="21"/>
      <c r="E8" s="21"/>
      <c r="F8" s="21"/>
      <c r="G8" s="101"/>
      <c r="H8" s="101"/>
      <c r="I8" s="20"/>
      <c r="J8" s="37"/>
      <c r="K8" s="37"/>
      <c r="L8" s="37"/>
      <c r="M8" s="37"/>
      <c r="N8" s="37"/>
      <c r="O8" s="37"/>
      <c r="P8" s="34" t="s">
        <v>51</v>
      </c>
      <c r="Q8" s="38"/>
      <c r="R8" s="39">
        <f>D46</f>
        <v>51.15</v>
      </c>
      <c r="S8" s="34" t="s">
        <v>2</v>
      </c>
      <c r="T8" s="28"/>
      <c r="U8" s="3"/>
      <c r="V8" s="3"/>
      <c r="W8" s="3"/>
    </row>
    <row r="9" spans="1:23" s="1" customFormat="1" ht="20.25" customHeight="1" x14ac:dyDescent="0.2">
      <c r="A9" s="3"/>
      <c r="B9" s="3"/>
      <c r="C9" s="56"/>
      <c r="D9" s="21"/>
      <c r="E9" s="3"/>
      <c r="F9" s="3"/>
      <c r="G9" s="101"/>
      <c r="H9" s="101"/>
      <c r="I9" s="20"/>
      <c r="J9" s="37"/>
      <c r="K9" s="37"/>
      <c r="L9" s="37"/>
      <c r="M9" s="37"/>
      <c r="N9" s="37"/>
      <c r="O9" s="37"/>
      <c r="P9" s="34" t="s">
        <v>50</v>
      </c>
      <c r="Q9" s="32"/>
      <c r="R9" s="32"/>
      <c r="S9" s="40"/>
      <c r="T9" s="40"/>
      <c r="U9" s="26">
        <f>W46</f>
        <v>589445.82200000004</v>
      </c>
      <c r="V9" s="26"/>
      <c r="W9" s="58"/>
    </row>
    <row r="10" spans="1:23" ht="20.25" customHeight="1" x14ac:dyDescent="0.2">
      <c r="G10" s="101"/>
      <c r="H10" s="101"/>
      <c r="I10" s="20"/>
      <c r="J10" s="37"/>
      <c r="K10" s="37"/>
      <c r="L10" s="37"/>
      <c r="M10" s="37"/>
      <c r="N10" s="37"/>
      <c r="O10" s="37"/>
      <c r="P10" s="41" t="s">
        <v>3</v>
      </c>
      <c r="Q10" s="21"/>
      <c r="R10" s="21"/>
      <c r="S10" s="24"/>
      <c r="T10" s="21"/>
      <c r="U10" s="24"/>
      <c r="V10" s="24"/>
      <c r="W10" s="24"/>
    </row>
    <row r="11" spans="1:23" ht="18.75" customHeight="1" x14ac:dyDescent="0.25">
      <c r="C11" s="37" t="s">
        <v>4</v>
      </c>
      <c r="D11" s="59">
        <v>8</v>
      </c>
      <c r="E11" s="22"/>
      <c r="F11" s="22"/>
      <c r="G11" s="37"/>
      <c r="H11" s="37"/>
      <c r="I11" s="37"/>
      <c r="J11" s="37"/>
      <c r="K11" s="20"/>
      <c r="L11" s="20"/>
      <c r="M11" s="20"/>
      <c r="N11" s="20"/>
      <c r="O11" s="20"/>
      <c r="P11" s="42"/>
      <c r="Q11" s="42"/>
      <c r="R11" s="42"/>
      <c r="S11" s="108" t="s">
        <v>73</v>
      </c>
      <c r="T11" s="108"/>
      <c r="U11" s="108"/>
      <c r="V11" s="109"/>
      <c r="W11" s="109"/>
    </row>
    <row r="12" spans="1:23" ht="19.5" customHeight="1" x14ac:dyDescent="0.25">
      <c r="C12" s="59" t="s">
        <v>5</v>
      </c>
      <c r="D12" s="59">
        <v>1</v>
      </c>
      <c r="E12" s="45" t="s">
        <v>6</v>
      </c>
      <c r="F12" s="23"/>
      <c r="G12" s="59"/>
      <c r="H12" s="59"/>
      <c r="I12" s="20"/>
      <c r="J12" s="37"/>
      <c r="K12" s="20"/>
      <c r="L12" s="20"/>
      <c r="M12" s="20"/>
      <c r="N12" s="20"/>
      <c r="O12" s="20"/>
      <c r="P12" s="37"/>
      <c r="Q12" s="37"/>
      <c r="R12" s="37"/>
      <c r="S12" s="20"/>
      <c r="T12" s="20"/>
      <c r="W12" s="60"/>
    </row>
    <row r="13" spans="1:23" ht="19.5" customHeight="1" thickBot="1" x14ac:dyDescent="0.3">
      <c r="C13" s="59"/>
      <c r="D13" s="59"/>
      <c r="E13" s="45"/>
      <c r="F13" s="23"/>
      <c r="G13" s="59"/>
      <c r="H13" s="59"/>
      <c r="I13" s="20"/>
      <c r="J13" s="37"/>
      <c r="K13" s="20"/>
      <c r="L13" s="20"/>
      <c r="M13" s="20"/>
      <c r="N13" s="20"/>
      <c r="O13" s="20"/>
      <c r="P13" s="110" t="s">
        <v>83</v>
      </c>
      <c r="Q13" s="110"/>
      <c r="R13" s="110"/>
      <c r="S13" s="110"/>
      <c r="T13" s="110"/>
      <c r="U13" s="110"/>
      <c r="W13" s="60"/>
    </row>
    <row r="14" spans="1:23" s="3" customFormat="1" ht="15.75" customHeight="1" x14ac:dyDescent="0.2">
      <c r="A14" s="47"/>
      <c r="B14" s="48"/>
      <c r="C14" s="103" t="s">
        <v>7</v>
      </c>
      <c r="D14" s="103" t="s">
        <v>8</v>
      </c>
      <c r="E14" s="103" t="s">
        <v>9</v>
      </c>
      <c r="F14" s="103" t="s">
        <v>10</v>
      </c>
      <c r="G14" s="103" t="s">
        <v>11</v>
      </c>
      <c r="H14" s="103" t="s">
        <v>43</v>
      </c>
      <c r="I14" s="103" t="s">
        <v>12</v>
      </c>
      <c r="J14" s="111" t="s">
        <v>13</v>
      </c>
      <c r="K14" s="112"/>
      <c r="L14" s="113"/>
      <c r="M14" s="102"/>
      <c r="N14" s="102"/>
      <c r="O14" s="114" t="s">
        <v>14</v>
      </c>
      <c r="P14" s="114"/>
      <c r="Q14" s="114"/>
      <c r="R14" s="114"/>
      <c r="S14" s="114"/>
      <c r="T14" s="103"/>
      <c r="U14" s="103" t="s">
        <v>15</v>
      </c>
      <c r="V14" s="103" t="s">
        <v>52</v>
      </c>
      <c r="W14" s="117" t="s">
        <v>66</v>
      </c>
    </row>
    <row r="15" spans="1:23" s="3" customFormat="1" ht="23.25" customHeight="1" x14ac:dyDescent="0.2">
      <c r="A15" s="49" t="s">
        <v>16</v>
      </c>
      <c r="B15" s="11" t="s">
        <v>24</v>
      </c>
      <c r="C15" s="104"/>
      <c r="D15" s="104"/>
      <c r="E15" s="104"/>
      <c r="F15" s="104"/>
      <c r="G15" s="104"/>
      <c r="H15" s="104"/>
      <c r="I15" s="104"/>
      <c r="J15" s="115" t="s">
        <v>17</v>
      </c>
      <c r="K15" s="115" t="s">
        <v>81</v>
      </c>
      <c r="L15" s="115" t="s">
        <v>46</v>
      </c>
      <c r="M15" s="115" t="s">
        <v>49</v>
      </c>
      <c r="N15" s="115" t="s">
        <v>49</v>
      </c>
      <c r="O15" s="115" t="s">
        <v>68</v>
      </c>
      <c r="P15" s="120" t="s">
        <v>18</v>
      </c>
      <c r="Q15" s="121"/>
      <c r="R15" s="122" t="s">
        <v>19</v>
      </c>
      <c r="S15" s="122"/>
      <c r="T15" s="104"/>
      <c r="U15" s="104"/>
      <c r="V15" s="104"/>
      <c r="W15" s="118"/>
    </row>
    <row r="16" spans="1:23" s="3" customFormat="1" ht="57.75" customHeight="1" x14ac:dyDescent="0.2">
      <c r="A16" s="50" t="s">
        <v>39</v>
      </c>
      <c r="B16" s="12" t="s">
        <v>25</v>
      </c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16"/>
      <c r="N16" s="116"/>
      <c r="O16" s="105"/>
      <c r="P16" s="13">
        <v>0.35</v>
      </c>
      <c r="Q16" s="14" t="s">
        <v>20</v>
      </c>
      <c r="R16" s="15" t="s">
        <v>21</v>
      </c>
      <c r="S16" s="15" t="s">
        <v>20</v>
      </c>
      <c r="T16" s="105"/>
      <c r="U16" s="105"/>
      <c r="V16" s="105"/>
      <c r="W16" s="119"/>
    </row>
    <row r="17" spans="1:23" s="3" customFormat="1" ht="28.5" customHeight="1" x14ac:dyDescent="0.3">
      <c r="A17" s="51">
        <v>1</v>
      </c>
      <c r="B17" s="2" t="s">
        <v>78</v>
      </c>
      <c r="C17" s="94" t="s">
        <v>77</v>
      </c>
      <c r="D17" s="63">
        <v>1</v>
      </c>
      <c r="E17" s="63">
        <v>16</v>
      </c>
      <c r="F17" s="63">
        <v>8914</v>
      </c>
      <c r="G17" s="64"/>
      <c r="H17" s="64">
        <f>(F17+G17)*3%</f>
        <v>267.42</v>
      </c>
      <c r="I17" s="64">
        <f>(D17*F17)+G17+H17+(F17*D17*10%)</f>
        <v>10072.82</v>
      </c>
      <c r="J17" s="65">
        <v>0.3</v>
      </c>
      <c r="K17" s="63"/>
      <c r="L17" s="64">
        <f>I17*J17</f>
        <v>3021.846</v>
      </c>
      <c r="M17" s="65">
        <v>0.5</v>
      </c>
      <c r="N17" s="64">
        <f>I17*M17</f>
        <v>5036.41</v>
      </c>
      <c r="O17" s="63"/>
      <c r="P17" s="63"/>
      <c r="Q17" s="63"/>
      <c r="R17" s="66">
        <v>0.3</v>
      </c>
      <c r="S17" s="67">
        <f>I17*0.3</f>
        <v>3021.846</v>
      </c>
      <c r="T17" s="68"/>
      <c r="U17" s="64">
        <f>S17+N17+L17+I17</f>
        <v>21152.921999999999</v>
      </c>
      <c r="V17" s="64"/>
      <c r="W17" s="69">
        <f>(V17+U17)</f>
        <v>21152.921999999999</v>
      </c>
    </row>
    <row r="18" spans="1:23" s="3" customFormat="1" ht="20.25" customHeight="1" x14ac:dyDescent="0.3">
      <c r="A18" s="51">
        <v>2</v>
      </c>
      <c r="B18" s="2" t="s">
        <v>29</v>
      </c>
      <c r="C18" s="95" t="s">
        <v>30</v>
      </c>
      <c r="D18" s="63">
        <v>1</v>
      </c>
      <c r="E18" s="63">
        <v>14</v>
      </c>
      <c r="F18" s="63">
        <v>7732</v>
      </c>
      <c r="G18" s="64"/>
      <c r="H18" s="63"/>
      <c r="I18" s="64">
        <f>(D18*F18)+G18+H18+F18*D18*10%</f>
        <v>8505.2000000000007</v>
      </c>
      <c r="J18" s="65">
        <v>0.3</v>
      </c>
      <c r="K18" s="63"/>
      <c r="L18" s="64">
        <f>I18*J18</f>
        <v>2551.56</v>
      </c>
      <c r="M18" s="65">
        <v>0.5</v>
      </c>
      <c r="N18" s="64">
        <f>I18*M18</f>
        <v>4252.6000000000004</v>
      </c>
      <c r="O18" s="63"/>
      <c r="P18" s="63"/>
      <c r="Q18" s="63"/>
      <c r="R18" s="65">
        <v>0.2</v>
      </c>
      <c r="S18" s="67">
        <f>I18*R18</f>
        <v>1701.0400000000002</v>
      </c>
      <c r="T18" s="70"/>
      <c r="U18" s="64">
        <f t="shared" ref="U18:U24" si="0">S18+N18+L18+I18</f>
        <v>17010.400000000001</v>
      </c>
      <c r="V18" s="64"/>
      <c r="W18" s="69">
        <f t="shared" ref="W18:W28" si="1">(V18+U18)</f>
        <v>17010.400000000001</v>
      </c>
    </row>
    <row r="19" spans="1:23" s="3" customFormat="1" ht="23.25" customHeight="1" x14ac:dyDescent="0.3">
      <c r="A19" s="51">
        <v>3</v>
      </c>
      <c r="B19" s="2">
        <v>2332</v>
      </c>
      <c r="C19" s="96" t="s">
        <v>79</v>
      </c>
      <c r="D19" s="63">
        <v>1</v>
      </c>
      <c r="E19" s="63">
        <v>14</v>
      </c>
      <c r="F19" s="63">
        <v>7732</v>
      </c>
      <c r="G19" s="64"/>
      <c r="H19" s="63"/>
      <c r="I19" s="64">
        <f>(D19*F19)+G19+H19+(F19*D19*10%)</f>
        <v>8505.2000000000007</v>
      </c>
      <c r="J19" s="65">
        <v>0.3</v>
      </c>
      <c r="K19" s="63"/>
      <c r="L19" s="64">
        <f>I19*J19</f>
        <v>2551.56</v>
      </c>
      <c r="M19" s="65">
        <v>0.5</v>
      </c>
      <c r="N19" s="64">
        <f>I19*M19</f>
        <v>4252.6000000000004</v>
      </c>
      <c r="O19" s="63"/>
      <c r="P19" s="63"/>
      <c r="Q19" s="68"/>
      <c r="R19" s="66">
        <v>0.3</v>
      </c>
      <c r="S19" s="67">
        <f>I19*R19</f>
        <v>2551.56</v>
      </c>
      <c r="T19" s="68"/>
      <c r="U19" s="64">
        <f>S19+N19+L19+I19</f>
        <v>17860.919999999998</v>
      </c>
      <c r="V19" s="64"/>
      <c r="W19" s="69">
        <f>(V19+U19)</f>
        <v>17860.919999999998</v>
      </c>
    </row>
    <row r="20" spans="1:23" s="3" customFormat="1" ht="27.75" customHeight="1" x14ac:dyDescent="0.3">
      <c r="A20" s="51">
        <v>4</v>
      </c>
      <c r="B20" s="2">
        <v>2332</v>
      </c>
      <c r="C20" s="96" t="s">
        <v>79</v>
      </c>
      <c r="D20" s="63">
        <v>2</v>
      </c>
      <c r="E20" s="63">
        <v>13</v>
      </c>
      <c r="F20" s="63">
        <v>7253</v>
      </c>
      <c r="G20" s="64"/>
      <c r="H20" s="63"/>
      <c r="I20" s="64">
        <f>(D20*F20)+G20+H20+(F20*D20*10%)</f>
        <v>15956.6</v>
      </c>
      <c r="J20" s="65">
        <v>0.3</v>
      </c>
      <c r="K20" s="63"/>
      <c r="L20" s="64">
        <f>I20*J20</f>
        <v>4786.9799999999996</v>
      </c>
      <c r="M20" s="65">
        <v>0.5</v>
      </c>
      <c r="N20" s="64">
        <f>I20*M20</f>
        <v>7978.3</v>
      </c>
      <c r="O20" s="63"/>
      <c r="P20" s="63"/>
      <c r="Q20" s="66"/>
      <c r="R20" s="66">
        <v>0.2</v>
      </c>
      <c r="S20" s="67">
        <f>I20*20%</f>
        <v>3191.32</v>
      </c>
      <c r="T20" s="68"/>
      <c r="U20" s="64">
        <f>S20+N20+L20+I20</f>
        <v>31913.200000000001</v>
      </c>
      <c r="V20" s="64"/>
      <c r="W20" s="69">
        <f>(V20+U20)</f>
        <v>31913.200000000001</v>
      </c>
    </row>
    <row r="21" spans="1:23" s="3" customFormat="1" ht="27.75" customHeight="1" x14ac:dyDescent="0.3">
      <c r="A21" s="51">
        <v>5</v>
      </c>
      <c r="B21" s="2">
        <v>2332</v>
      </c>
      <c r="C21" s="96" t="s">
        <v>79</v>
      </c>
      <c r="D21" s="63">
        <v>6.4</v>
      </c>
      <c r="E21" s="63">
        <v>12</v>
      </c>
      <c r="F21" s="63">
        <v>6773</v>
      </c>
      <c r="G21" s="64"/>
      <c r="H21" s="63"/>
      <c r="I21" s="64">
        <f>(D21*F21)+G21+H21+(F21*D21*10%)</f>
        <v>47681.920000000006</v>
      </c>
      <c r="J21" s="65">
        <v>0.3</v>
      </c>
      <c r="K21" s="63"/>
      <c r="L21" s="64">
        <f>I21*J21</f>
        <v>14304.576000000001</v>
      </c>
      <c r="M21" s="65">
        <v>0.5</v>
      </c>
      <c r="N21" s="64">
        <f>I21*M21</f>
        <v>23840.960000000003</v>
      </c>
      <c r="O21" s="63"/>
      <c r="P21" s="63"/>
      <c r="Q21" s="66"/>
      <c r="R21" s="66" t="s">
        <v>59</v>
      </c>
      <c r="S21" s="67">
        <v>9536.3799999999992</v>
      </c>
      <c r="T21" s="68"/>
      <c r="U21" s="64">
        <f>S21+N21+L21+I21</f>
        <v>95363.83600000001</v>
      </c>
      <c r="V21" s="64"/>
      <c r="W21" s="69">
        <f t="shared" si="1"/>
        <v>95363.83600000001</v>
      </c>
    </row>
    <row r="22" spans="1:23" s="3" customFormat="1" ht="24" customHeight="1" x14ac:dyDescent="0.3">
      <c r="A22" s="51">
        <v>6</v>
      </c>
      <c r="B22" s="2" t="s">
        <v>27</v>
      </c>
      <c r="C22" s="97" t="s">
        <v>28</v>
      </c>
      <c r="D22" s="63">
        <v>1</v>
      </c>
      <c r="E22" s="63">
        <v>12</v>
      </c>
      <c r="F22" s="63">
        <v>6773</v>
      </c>
      <c r="G22" s="64"/>
      <c r="H22" s="63"/>
      <c r="I22" s="64">
        <f>(D22*F22)+G22+H22+F22*D22*10%</f>
        <v>7450.3</v>
      </c>
      <c r="J22" s="65">
        <v>0.3</v>
      </c>
      <c r="K22" s="63"/>
      <c r="L22" s="64">
        <f t="shared" ref="L22" si="2">I22*J22</f>
        <v>2235.09</v>
      </c>
      <c r="M22" s="65">
        <v>0.5</v>
      </c>
      <c r="N22" s="64">
        <f t="shared" ref="N22" si="3">I22*M22</f>
        <v>3725.15</v>
      </c>
      <c r="O22" s="63"/>
      <c r="P22" s="63"/>
      <c r="Q22" s="63"/>
      <c r="R22" s="65">
        <v>0.2</v>
      </c>
      <c r="S22" s="64">
        <f>I22*R22</f>
        <v>1490.0600000000002</v>
      </c>
      <c r="T22" s="68"/>
      <c r="U22" s="64">
        <f t="shared" si="0"/>
        <v>14900.6</v>
      </c>
      <c r="V22" s="64"/>
      <c r="W22" s="69">
        <f t="shared" si="1"/>
        <v>14900.6</v>
      </c>
    </row>
    <row r="23" spans="1:23" s="3" customFormat="1" ht="27.75" customHeight="1" x14ac:dyDescent="0.3">
      <c r="A23" s="51">
        <v>7</v>
      </c>
      <c r="B23" s="2">
        <v>2332</v>
      </c>
      <c r="C23" s="96" t="s">
        <v>79</v>
      </c>
      <c r="D23" s="63">
        <v>5</v>
      </c>
      <c r="E23" s="63">
        <v>11</v>
      </c>
      <c r="F23" s="63">
        <v>6294</v>
      </c>
      <c r="G23" s="64">
        <v>3776.4</v>
      </c>
      <c r="H23" s="63"/>
      <c r="I23" s="64">
        <v>38393.4</v>
      </c>
      <c r="J23" s="65">
        <v>0.3</v>
      </c>
      <c r="K23" s="63"/>
      <c r="L23" s="64">
        <f>I23*J23</f>
        <v>11518.02</v>
      </c>
      <c r="M23" s="65">
        <v>0.5</v>
      </c>
      <c r="N23" s="64">
        <f>I23*M23</f>
        <v>19196.7</v>
      </c>
      <c r="O23" s="63"/>
      <c r="P23" s="63"/>
      <c r="Q23" s="63"/>
      <c r="R23" s="65" t="s">
        <v>53</v>
      </c>
      <c r="S23" s="67">
        <v>10731.27</v>
      </c>
      <c r="T23" s="67"/>
      <c r="U23" s="64">
        <f>S23+N23+L23+I23</f>
        <v>79839.390000000014</v>
      </c>
      <c r="V23" s="64"/>
      <c r="W23" s="69">
        <f t="shared" si="1"/>
        <v>79839.390000000014</v>
      </c>
    </row>
    <row r="24" spans="1:23" s="3" customFormat="1" ht="26.25" customHeight="1" x14ac:dyDescent="0.3">
      <c r="A24" s="51">
        <v>8</v>
      </c>
      <c r="B24" s="2" t="s">
        <v>60</v>
      </c>
      <c r="C24" s="97" t="s">
        <v>58</v>
      </c>
      <c r="D24" s="63">
        <v>1</v>
      </c>
      <c r="E24" s="63">
        <v>11</v>
      </c>
      <c r="F24" s="63">
        <v>6294</v>
      </c>
      <c r="G24" s="64"/>
      <c r="H24" s="63"/>
      <c r="I24" s="64">
        <f>(D24*F24)+G24+H24+F24*D24*10%</f>
        <v>6923.4</v>
      </c>
      <c r="J24" s="65">
        <v>0.3</v>
      </c>
      <c r="K24" s="63"/>
      <c r="L24" s="64">
        <f>I24*J24</f>
        <v>2077.02</v>
      </c>
      <c r="M24" s="65">
        <v>0.5</v>
      </c>
      <c r="N24" s="64">
        <f>I24*M24</f>
        <v>3461.7</v>
      </c>
      <c r="O24" s="63"/>
      <c r="P24" s="63"/>
      <c r="Q24" s="63"/>
      <c r="R24" s="65"/>
      <c r="S24" s="64"/>
      <c r="T24" s="68"/>
      <c r="U24" s="64">
        <f t="shared" si="0"/>
        <v>12462.119999999999</v>
      </c>
      <c r="V24" s="64"/>
      <c r="W24" s="69">
        <f t="shared" si="1"/>
        <v>12462.119999999999</v>
      </c>
    </row>
    <row r="25" spans="1:23" s="3" customFormat="1" ht="26.25" customHeight="1" x14ac:dyDescent="0.3">
      <c r="A25" s="51">
        <v>9</v>
      </c>
      <c r="B25" s="2">
        <v>3475</v>
      </c>
      <c r="C25" s="97" t="s">
        <v>31</v>
      </c>
      <c r="D25" s="63">
        <v>1</v>
      </c>
      <c r="E25" s="63">
        <v>11</v>
      </c>
      <c r="F25" s="63">
        <v>6294</v>
      </c>
      <c r="G25" s="64">
        <f>F25*15%</f>
        <v>944.09999999999991</v>
      </c>
      <c r="H25" s="63"/>
      <c r="I25" s="64">
        <f>(D25*F25)+G25+H25+F25*D25*10%</f>
        <v>7867.5</v>
      </c>
      <c r="J25" s="65">
        <v>0.3</v>
      </c>
      <c r="K25" s="63"/>
      <c r="L25" s="64">
        <f>I25*J25</f>
        <v>2360.25</v>
      </c>
      <c r="M25" s="65">
        <v>0.5</v>
      </c>
      <c r="N25" s="64">
        <f t="shared" ref="N25" si="4">I25*M25</f>
        <v>3933.75</v>
      </c>
      <c r="O25" s="63"/>
      <c r="P25" s="63"/>
      <c r="Q25" s="63"/>
      <c r="R25" s="65">
        <v>0.1</v>
      </c>
      <c r="S25" s="67">
        <f>I25*R25</f>
        <v>786.75</v>
      </c>
      <c r="T25" s="68"/>
      <c r="U25" s="64">
        <f t="shared" ref="U25" si="5">S25+N25+L25+I25</f>
        <v>14948.25</v>
      </c>
      <c r="V25" s="64"/>
      <c r="W25" s="69">
        <f t="shared" ref="W25" si="6">(V25+U25)</f>
        <v>14948.25</v>
      </c>
    </row>
    <row r="26" spans="1:23" s="3" customFormat="1" ht="27" customHeight="1" x14ac:dyDescent="0.3">
      <c r="A26" s="51">
        <v>10</v>
      </c>
      <c r="B26" s="2" t="s">
        <v>55</v>
      </c>
      <c r="C26" s="97" t="s">
        <v>26</v>
      </c>
      <c r="D26" s="63">
        <v>2</v>
      </c>
      <c r="E26" s="63">
        <v>10</v>
      </c>
      <c r="F26" s="63">
        <v>5815</v>
      </c>
      <c r="G26" s="64">
        <v>1308.3800000000001</v>
      </c>
      <c r="H26" s="63"/>
      <c r="I26" s="64">
        <f>(D26*F26)+G26+H26+F26*D26*10%</f>
        <v>14101.380000000001</v>
      </c>
      <c r="J26" s="65">
        <v>0.3</v>
      </c>
      <c r="K26" s="63"/>
      <c r="L26" s="64">
        <f>I26*J26</f>
        <v>4230.4139999999998</v>
      </c>
      <c r="M26" s="65">
        <v>0.5</v>
      </c>
      <c r="N26" s="64">
        <f>I26*M26</f>
        <v>7050.6900000000005</v>
      </c>
      <c r="O26" s="63"/>
      <c r="P26" s="63"/>
      <c r="Q26" s="63"/>
      <c r="R26" s="65" t="s">
        <v>67</v>
      </c>
      <c r="S26" s="64">
        <v>3910.59</v>
      </c>
      <c r="T26" s="68"/>
      <c r="U26" s="64">
        <f>S26+N26+L26+I26-0.01</f>
        <v>29293.064000000002</v>
      </c>
      <c r="V26" s="64"/>
      <c r="W26" s="69">
        <f t="shared" si="1"/>
        <v>29293.064000000002</v>
      </c>
    </row>
    <row r="27" spans="1:23" s="3" customFormat="1" ht="21" customHeight="1" x14ac:dyDescent="0.3">
      <c r="A27" s="51">
        <v>11</v>
      </c>
      <c r="B27" s="2">
        <v>3231</v>
      </c>
      <c r="C27" s="97" t="s">
        <v>32</v>
      </c>
      <c r="D27" s="63">
        <v>1</v>
      </c>
      <c r="E27" s="63">
        <v>9</v>
      </c>
      <c r="F27" s="63">
        <v>5527</v>
      </c>
      <c r="G27" s="64"/>
      <c r="H27" s="63"/>
      <c r="I27" s="64">
        <f>(D27*F27)+G27+H27</f>
        <v>5527</v>
      </c>
      <c r="J27" s="65">
        <v>0.2</v>
      </c>
      <c r="K27" s="64"/>
      <c r="L27" s="64"/>
      <c r="M27" s="65">
        <v>0.5</v>
      </c>
      <c r="N27" s="64">
        <f>I27*M27</f>
        <v>2763.5</v>
      </c>
      <c r="O27" s="63"/>
      <c r="P27" s="63"/>
      <c r="Q27" s="63"/>
      <c r="R27" s="65">
        <v>0.3</v>
      </c>
      <c r="S27" s="67">
        <f>I27*R27</f>
        <v>1658.1</v>
      </c>
      <c r="T27" s="68"/>
      <c r="U27" s="64">
        <f>S27+N27+L27+I27+K27</f>
        <v>9948.6</v>
      </c>
      <c r="V27" s="64"/>
      <c r="W27" s="69">
        <f t="shared" si="1"/>
        <v>9948.6</v>
      </c>
    </row>
    <row r="28" spans="1:23" s="3" customFormat="1" ht="24.75" customHeight="1" thickBot="1" x14ac:dyDescent="0.35">
      <c r="A28" s="52">
        <v>12</v>
      </c>
      <c r="B28" s="4">
        <v>3231</v>
      </c>
      <c r="C28" s="98" t="s">
        <v>32</v>
      </c>
      <c r="D28" s="71">
        <v>0.5</v>
      </c>
      <c r="E28" s="71">
        <v>8</v>
      </c>
      <c r="F28" s="71">
        <v>5240</v>
      </c>
      <c r="G28" s="72"/>
      <c r="H28" s="71"/>
      <c r="I28" s="72">
        <f>(D28*F28)+G28+H28</f>
        <v>2620</v>
      </c>
      <c r="J28" s="73">
        <v>0.2</v>
      </c>
      <c r="K28" s="72"/>
      <c r="L28" s="72"/>
      <c r="M28" s="73">
        <v>0.5</v>
      </c>
      <c r="N28" s="72">
        <f>I28*M28</f>
        <v>1310</v>
      </c>
      <c r="O28" s="71"/>
      <c r="P28" s="71"/>
      <c r="Q28" s="71"/>
      <c r="R28" s="73">
        <v>0.2</v>
      </c>
      <c r="S28" s="74">
        <f>I28*R28</f>
        <v>524</v>
      </c>
      <c r="T28" s="75"/>
      <c r="U28" s="72">
        <f>S28+N28+L28+I28+K28</f>
        <v>4454</v>
      </c>
      <c r="V28" s="72"/>
      <c r="W28" s="76">
        <f t="shared" si="1"/>
        <v>4454</v>
      </c>
    </row>
    <row r="29" spans="1:23" s="3" customFormat="1" ht="17.25" thickBot="1" x14ac:dyDescent="0.4">
      <c r="A29" s="27"/>
      <c r="B29" s="17"/>
      <c r="C29" s="18" t="s">
        <v>33</v>
      </c>
      <c r="D29" s="77">
        <f>SUM(D17:D28)</f>
        <v>22.9</v>
      </c>
      <c r="E29" s="78"/>
      <c r="F29" s="78"/>
      <c r="G29" s="77">
        <f>SUM(G17:G28)</f>
        <v>6028.88</v>
      </c>
      <c r="H29" s="77">
        <f>SUM(H17:H28)</f>
        <v>267.42</v>
      </c>
      <c r="I29" s="77">
        <f>SUM(I17:I28)</f>
        <v>173604.72</v>
      </c>
      <c r="J29" s="78"/>
      <c r="K29" s="78">
        <f>SUM(K17:K28)</f>
        <v>0</v>
      </c>
      <c r="L29" s="77">
        <f>SUM(L17:L28)</f>
        <v>49637.315999999992</v>
      </c>
      <c r="M29" s="79"/>
      <c r="N29" s="77">
        <f>SUM(N17:N28)-0.01</f>
        <v>86802.35</v>
      </c>
      <c r="O29" s="78"/>
      <c r="P29" s="78"/>
      <c r="Q29" s="78"/>
      <c r="R29" s="79"/>
      <c r="S29" s="77">
        <f>SUM(S17:S28)-0.01</f>
        <v>39102.906000000003</v>
      </c>
      <c r="T29" s="77">
        <f>SUM(T17:T28)</f>
        <v>0</v>
      </c>
      <c r="U29" s="77">
        <f>SUM(U17:U28)</f>
        <v>349147.30200000003</v>
      </c>
      <c r="V29" s="77"/>
      <c r="W29" s="80">
        <f>SUM(W17:W28)</f>
        <v>349147.30200000003</v>
      </c>
    </row>
    <row r="30" spans="1:23" s="3" customFormat="1" ht="23.25" customHeight="1" x14ac:dyDescent="0.3">
      <c r="A30" s="50">
        <v>13</v>
      </c>
      <c r="B30" s="16">
        <v>1239</v>
      </c>
      <c r="C30" s="99" t="s">
        <v>40</v>
      </c>
      <c r="D30" s="81">
        <v>1</v>
      </c>
      <c r="E30" s="81">
        <v>7</v>
      </c>
      <c r="F30" s="81">
        <v>4920</v>
      </c>
      <c r="G30" s="81"/>
      <c r="H30" s="82"/>
      <c r="I30" s="82">
        <f>F30*D30</f>
        <v>4920</v>
      </c>
      <c r="J30" s="83"/>
      <c r="K30" s="82"/>
      <c r="L30" s="82"/>
      <c r="M30" s="83">
        <v>0.5</v>
      </c>
      <c r="N30" s="82">
        <f>I30*M30</f>
        <v>2460</v>
      </c>
      <c r="O30" s="82"/>
      <c r="P30" s="81"/>
      <c r="Q30" s="81"/>
      <c r="R30" s="82"/>
      <c r="S30" s="82"/>
      <c r="T30" s="82"/>
      <c r="U30" s="82">
        <f>I30+N30</f>
        <v>7380</v>
      </c>
      <c r="V30" s="82">
        <v>620</v>
      </c>
      <c r="W30" s="84">
        <f>(U30+V30)</f>
        <v>8000</v>
      </c>
    </row>
    <row r="31" spans="1:23" s="3" customFormat="1" ht="18.75" customHeight="1" x14ac:dyDescent="0.3">
      <c r="A31" s="51">
        <v>14</v>
      </c>
      <c r="B31" s="4">
        <v>9411</v>
      </c>
      <c r="C31" s="95" t="s">
        <v>38</v>
      </c>
      <c r="D31" s="63">
        <v>0.5</v>
      </c>
      <c r="E31" s="63">
        <v>1</v>
      </c>
      <c r="F31" s="63">
        <v>3195</v>
      </c>
      <c r="G31" s="63"/>
      <c r="H31" s="64"/>
      <c r="I31" s="64">
        <f>F31*D31</f>
        <v>1597.5</v>
      </c>
      <c r="J31" s="65"/>
      <c r="K31" s="64"/>
      <c r="L31" s="64"/>
      <c r="M31" s="65"/>
      <c r="N31" s="64"/>
      <c r="O31" s="64"/>
      <c r="P31" s="63"/>
      <c r="Q31" s="63"/>
      <c r="R31" s="64"/>
      <c r="S31" s="64"/>
      <c r="T31" s="64"/>
      <c r="U31" s="64">
        <f>I31+N31</f>
        <v>1597.5</v>
      </c>
      <c r="V31" s="64">
        <f>4000-I31</f>
        <v>2402.5</v>
      </c>
      <c r="W31" s="84">
        <f t="shared" ref="W31:W44" si="7">(U31+V31)</f>
        <v>4000</v>
      </c>
    </row>
    <row r="32" spans="1:23" s="3" customFormat="1" ht="18" customHeight="1" x14ac:dyDescent="0.3">
      <c r="A32" s="51">
        <v>15</v>
      </c>
      <c r="B32" s="2">
        <v>4144</v>
      </c>
      <c r="C32" s="95" t="s">
        <v>42</v>
      </c>
      <c r="D32" s="63">
        <v>0.5</v>
      </c>
      <c r="E32" s="63">
        <v>4</v>
      </c>
      <c r="F32" s="63">
        <v>4058</v>
      </c>
      <c r="G32" s="63"/>
      <c r="H32" s="64"/>
      <c r="I32" s="64">
        <f t="shared" ref="I32:I44" si="8">F32*D32</f>
        <v>2029</v>
      </c>
      <c r="J32" s="65"/>
      <c r="K32" s="64"/>
      <c r="L32" s="64"/>
      <c r="M32" s="65"/>
      <c r="N32" s="64"/>
      <c r="O32" s="64">
        <f>I32*20%</f>
        <v>405.8</v>
      </c>
      <c r="P32" s="63"/>
      <c r="Q32" s="63"/>
      <c r="R32" s="64"/>
      <c r="S32" s="64"/>
      <c r="T32" s="64"/>
      <c r="U32" s="64">
        <f>SUM(I32:T32)</f>
        <v>2434.8000000000002</v>
      </c>
      <c r="V32" s="64">
        <f>4000-I32-O32</f>
        <v>1565.2</v>
      </c>
      <c r="W32" s="84">
        <f t="shared" si="7"/>
        <v>4000</v>
      </c>
    </row>
    <row r="33" spans="1:23" s="3" customFormat="1" ht="16.5" customHeight="1" x14ac:dyDescent="0.3">
      <c r="A33" s="51">
        <v>16</v>
      </c>
      <c r="B33" s="2">
        <v>5122</v>
      </c>
      <c r="C33" s="95" t="s">
        <v>34</v>
      </c>
      <c r="D33" s="63">
        <v>1</v>
      </c>
      <c r="E33" s="63">
        <v>3</v>
      </c>
      <c r="F33" s="63">
        <v>3770</v>
      </c>
      <c r="G33" s="63"/>
      <c r="H33" s="64"/>
      <c r="I33" s="64">
        <f t="shared" si="8"/>
        <v>3770</v>
      </c>
      <c r="J33" s="65">
        <v>0.08</v>
      </c>
      <c r="K33" s="64">
        <f>I33*8%</f>
        <v>301.60000000000002</v>
      </c>
      <c r="L33" s="64"/>
      <c r="M33" s="65"/>
      <c r="N33" s="64"/>
      <c r="O33" s="64"/>
      <c r="P33" s="63"/>
      <c r="Q33" s="63"/>
      <c r="R33" s="64"/>
      <c r="S33" s="64"/>
      <c r="T33" s="64"/>
      <c r="U33" s="64">
        <f>I33+K33+N33</f>
        <v>4071.6</v>
      </c>
      <c r="V33" s="64">
        <f>8000-I33</f>
        <v>4230</v>
      </c>
      <c r="W33" s="84">
        <f t="shared" si="7"/>
        <v>8301.6</v>
      </c>
    </row>
    <row r="34" spans="1:23" s="3" customFormat="1" ht="19.5" customHeight="1" x14ac:dyDescent="0.3">
      <c r="A34" s="51">
        <v>17</v>
      </c>
      <c r="B34" s="2">
        <v>5122</v>
      </c>
      <c r="C34" s="97" t="s">
        <v>35</v>
      </c>
      <c r="D34" s="63">
        <v>2</v>
      </c>
      <c r="E34" s="63">
        <v>5</v>
      </c>
      <c r="F34" s="63">
        <v>4345</v>
      </c>
      <c r="G34" s="63"/>
      <c r="H34" s="64"/>
      <c r="I34" s="64">
        <f t="shared" si="8"/>
        <v>8690</v>
      </c>
      <c r="J34" s="65">
        <v>0.08</v>
      </c>
      <c r="K34" s="64">
        <f>I34*8%</f>
        <v>695.2</v>
      </c>
      <c r="L34" s="64"/>
      <c r="M34" s="65"/>
      <c r="N34" s="64"/>
      <c r="O34" s="64"/>
      <c r="P34" s="63"/>
      <c r="Q34" s="63"/>
      <c r="R34" s="64"/>
      <c r="S34" s="64"/>
      <c r="T34" s="64"/>
      <c r="U34" s="64">
        <f>I34+K34+N34</f>
        <v>9385.2000000000007</v>
      </c>
      <c r="V34" s="64">
        <f>(8000*2)-I34</f>
        <v>7310</v>
      </c>
      <c r="W34" s="84">
        <f t="shared" si="7"/>
        <v>16695.2</v>
      </c>
    </row>
    <row r="35" spans="1:23" s="3" customFormat="1" ht="17.25" customHeight="1" x14ac:dyDescent="0.3">
      <c r="A35" s="51">
        <v>18</v>
      </c>
      <c r="B35" s="2">
        <v>9322</v>
      </c>
      <c r="C35" s="97" t="s">
        <v>41</v>
      </c>
      <c r="D35" s="63">
        <v>1.5</v>
      </c>
      <c r="E35" s="63">
        <v>1</v>
      </c>
      <c r="F35" s="63">
        <v>3195</v>
      </c>
      <c r="G35" s="63"/>
      <c r="H35" s="64"/>
      <c r="I35" s="64">
        <f t="shared" si="8"/>
        <v>4792.5</v>
      </c>
      <c r="J35" s="65">
        <v>0.08</v>
      </c>
      <c r="K35" s="64">
        <f>I35*8%</f>
        <v>383.40000000000003</v>
      </c>
      <c r="L35" s="64"/>
      <c r="M35" s="65"/>
      <c r="N35" s="64"/>
      <c r="O35" s="64"/>
      <c r="P35" s="63"/>
      <c r="Q35" s="63"/>
      <c r="R35" s="64"/>
      <c r="S35" s="64"/>
      <c r="T35" s="64"/>
      <c r="U35" s="64">
        <f>T35+Q35+O35+L35+K35+H35+I35+N35</f>
        <v>5175.8999999999996</v>
      </c>
      <c r="V35" s="64">
        <f>(8000*1.5)-I35</f>
        <v>7207.5</v>
      </c>
      <c r="W35" s="84">
        <f t="shared" si="7"/>
        <v>12383.4</v>
      </c>
    </row>
    <row r="36" spans="1:23" s="3" customFormat="1" ht="27" customHeight="1" x14ac:dyDescent="0.3">
      <c r="A36" s="51">
        <v>19</v>
      </c>
      <c r="B36" s="2">
        <v>9132</v>
      </c>
      <c r="C36" s="95" t="s">
        <v>54</v>
      </c>
      <c r="D36" s="63">
        <v>1</v>
      </c>
      <c r="E36" s="63">
        <v>1</v>
      </c>
      <c r="F36" s="63">
        <v>3195</v>
      </c>
      <c r="G36" s="63"/>
      <c r="H36" s="64"/>
      <c r="I36" s="64">
        <f t="shared" si="8"/>
        <v>3195</v>
      </c>
      <c r="J36" s="65">
        <v>0.1</v>
      </c>
      <c r="K36" s="64">
        <f>I36*10%</f>
        <v>319.5</v>
      </c>
      <c r="L36" s="64"/>
      <c r="M36" s="65"/>
      <c r="N36" s="64"/>
      <c r="O36" s="64"/>
      <c r="P36" s="63"/>
      <c r="Q36" s="63"/>
      <c r="R36" s="64"/>
      <c r="S36" s="64"/>
      <c r="T36" s="64"/>
      <c r="U36" s="64">
        <f>T36+Q36+O36+L36+K36+H36+I36</f>
        <v>3514.5</v>
      </c>
      <c r="V36" s="64">
        <f>8000-I36</f>
        <v>4805</v>
      </c>
      <c r="W36" s="84">
        <f t="shared" si="7"/>
        <v>8319.5</v>
      </c>
    </row>
    <row r="37" spans="1:23" s="3" customFormat="1" ht="18" customHeight="1" x14ac:dyDescent="0.3">
      <c r="A37" s="51">
        <v>20</v>
      </c>
      <c r="B37" s="2">
        <v>7241</v>
      </c>
      <c r="C37" s="95" t="s">
        <v>63</v>
      </c>
      <c r="D37" s="63">
        <v>0.5</v>
      </c>
      <c r="E37" s="63">
        <v>2</v>
      </c>
      <c r="F37" s="63">
        <v>3483</v>
      </c>
      <c r="G37" s="63"/>
      <c r="H37" s="64"/>
      <c r="I37" s="64">
        <f>F37*D37</f>
        <v>1741.5</v>
      </c>
      <c r="J37" s="65"/>
      <c r="K37" s="64"/>
      <c r="L37" s="64"/>
      <c r="M37" s="65"/>
      <c r="N37" s="64"/>
      <c r="O37" s="64"/>
      <c r="P37" s="63"/>
      <c r="Q37" s="63"/>
      <c r="R37" s="64"/>
      <c r="S37" s="64"/>
      <c r="T37" s="64"/>
      <c r="U37" s="64">
        <f>T37+Q37+O37+L37+K37+H37+I37</f>
        <v>1741.5</v>
      </c>
      <c r="V37" s="64">
        <f>4000-I37</f>
        <v>2258.5</v>
      </c>
      <c r="W37" s="84">
        <f t="shared" si="7"/>
        <v>4000</v>
      </c>
    </row>
    <row r="38" spans="1:23" s="3" customFormat="1" ht="33.75" customHeight="1" x14ac:dyDescent="0.3">
      <c r="A38" s="51">
        <v>21</v>
      </c>
      <c r="B38" s="2">
        <v>7129</v>
      </c>
      <c r="C38" s="95" t="s">
        <v>65</v>
      </c>
      <c r="D38" s="63">
        <v>1</v>
      </c>
      <c r="E38" s="63">
        <v>2</v>
      </c>
      <c r="F38" s="63">
        <v>3483</v>
      </c>
      <c r="G38" s="63"/>
      <c r="H38" s="64"/>
      <c r="I38" s="64">
        <f t="shared" si="8"/>
        <v>3483</v>
      </c>
      <c r="J38" s="65"/>
      <c r="K38" s="64"/>
      <c r="L38" s="64"/>
      <c r="M38" s="65"/>
      <c r="N38" s="64"/>
      <c r="O38" s="64"/>
      <c r="P38" s="65"/>
      <c r="Q38" s="64"/>
      <c r="R38" s="64"/>
      <c r="S38" s="64"/>
      <c r="T38" s="64"/>
      <c r="U38" s="64">
        <f>T38+Q38+O38+L38+K38+H38+I38</f>
        <v>3483</v>
      </c>
      <c r="V38" s="64">
        <f>8000-I38</f>
        <v>4517</v>
      </c>
      <c r="W38" s="84">
        <f>(U38+V38)</f>
        <v>8000</v>
      </c>
    </row>
    <row r="39" spans="1:23" s="3" customFormat="1" ht="27" customHeight="1" x14ac:dyDescent="0.3">
      <c r="A39" s="51">
        <v>22</v>
      </c>
      <c r="B39" s="2">
        <v>8162</v>
      </c>
      <c r="C39" s="95" t="s">
        <v>62</v>
      </c>
      <c r="D39" s="63">
        <v>1</v>
      </c>
      <c r="E39" s="63">
        <v>2</v>
      </c>
      <c r="F39" s="63">
        <v>3483</v>
      </c>
      <c r="G39" s="63"/>
      <c r="H39" s="64"/>
      <c r="I39" s="64">
        <f t="shared" si="8"/>
        <v>3483</v>
      </c>
      <c r="J39" s="65">
        <v>0.08</v>
      </c>
      <c r="K39" s="64">
        <f>I39*8%</f>
        <v>278.64</v>
      </c>
      <c r="L39" s="64"/>
      <c r="M39" s="65"/>
      <c r="N39" s="64"/>
      <c r="O39" s="64"/>
      <c r="P39" s="65">
        <v>0.35</v>
      </c>
      <c r="Q39" s="64">
        <f>I39*35%</f>
        <v>1219.05</v>
      </c>
      <c r="R39" s="64"/>
      <c r="S39" s="64"/>
      <c r="T39" s="64"/>
      <c r="U39" s="64">
        <f>I39+Q39+N39+K39</f>
        <v>4980.6900000000005</v>
      </c>
      <c r="V39" s="64">
        <f>8000-I39</f>
        <v>4517</v>
      </c>
      <c r="W39" s="84">
        <f t="shared" si="7"/>
        <v>9497.69</v>
      </c>
    </row>
    <row r="40" spans="1:23" s="3" customFormat="1" ht="31.5" customHeight="1" x14ac:dyDescent="0.3">
      <c r="A40" s="51">
        <v>23</v>
      </c>
      <c r="B40" s="2">
        <v>8162</v>
      </c>
      <c r="C40" s="95" t="s">
        <v>56</v>
      </c>
      <c r="D40" s="63">
        <v>3</v>
      </c>
      <c r="E40" s="63">
        <v>2</v>
      </c>
      <c r="F40" s="63">
        <v>3483</v>
      </c>
      <c r="G40" s="63"/>
      <c r="H40" s="64"/>
      <c r="I40" s="64">
        <f>F40*D40</f>
        <v>10449</v>
      </c>
      <c r="J40" s="65">
        <v>0.08</v>
      </c>
      <c r="K40" s="64">
        <f>I40*8%</f>
        <v>835.92000000000007</v>
      </c>
      <c r="L40" s="64"/>
      <c r="M40" s="65"/>
      <c r="N40" s="64"/>
      <c r="O40" s="64"/>
      <c r="P40" s="65">
        <v>0.35</v>
      </c>
      <c r="Q40" s="64">
        <f>I40*P40</f>
        <v>3657.1499999999996</v>
      </c>
      <c r="R40" s="64" t="s">
        <v>61</v>
      </c>
      <c r="S40" s="64"/>
      <c r="T40" s="64"/>
      <c r="U40" s="64">
        <f>Q40+I40+N40+K40</f>
        <v>14942.07</v>
      </c>
      <c r="V40" s="64">
        <f>(8000*3)-I40</f>
        <v>13551</v>
      </c>
      <c r="W40" s="84">
        <f t="shared" si="7"/>
        <v>28493.07</v>
      </c>
    </row>
    <row r="41" spans="1:23" s="3" customFormat="1" ht="28.5" customHeight="1" x14ac:dyDescent="0.3">
      <c r="A41" s="51">
        <v>24</v>
      </c>
      <c r="B41" s="2">
        <v>8264</v>
      </c>
      <c r="C41" s="95" t="s">
        <v>64</v>
      </c>
      <c r="D41" s="63">
        <v>1.75</v>
      </c>
      <c r="E41" s="63">
        <v>2</v>
      </c>
      <c r="F41" s="63">
        <v>3483</v>
      </c>
      <c r="G41" s="63"/>
      <c r="H41" s="64"/>
      <c r="I41" s="64">
        <f t="shared" si="8"/>
        <v>6095.25</v>
      </c>
      <c r="J41" s="65">
        <v>0.04</v>
      </c>
      <c r="K41" s="64">
        <f>I41*4%</f>
        <v>243.81</v>
      </c>
      <c r="L41" s="64"/>
      <c r="M41" s="65"/>
      <c r="N41" s="64"/>
      <c r="O41" s="64"/>
      <c r="P41" s="63"/>
      <c r="Q41" s="63"/>
      <c r="R41" s="64"/>
      <c r="S41" s="64"/>
      <c r="T41" s="64"/>
      <c r="U41" s="64">
        <f>T41+Q41+O41+L41+K41+H41+I41</f>
        <v>6339.06</v>
      </c>
      <c r="V41" s="64">
        <f>(8000*1.75) -I41</f>
        <v>7904.75</v>
      </c>
      <c r="W41" s="84">
        <f t="shared" si="7"/>
        <v>14243.810000000001</v>
      </c>
    </row>
    <row r="42" spans="1:23" s="3" customFormat="1" ht="24" customHeight="1" x14ac:dyDescent="0.3">
      <c r="A42" s="51">
        <v>25</v>
      </c>
      <c r="B42" s="2">
        <v>5131</v>
      </c>
      <c r="C42" s="95" t="s">
        <v>57</v>
      </c>
      <c r="D42" s="63">
        <v>9.5</v>
      </c>
      <c r="E42" s="63">
        <v>5</v>
      </c>
      <c r="F42" s="63">
        <v>4345</v>
      </c>
      <c r="G42" s="63"/>
      <c r="H42" s="64"/>
      <c r="I42" s="64">
        <f t="shared" si="8"/>
        <v>41277.5</v>
      </c>
      <c r="J42" s="65">
        <v>0.1</v>
      </c>
      <c r="K42" s="64">
        <f>I42*10%</f>
        <v>4127.75</v>
      </c>
      <c r="L42" s="64"/>
      <c r="M42" s="65"/>
      <c r="N42" s="64"/>
      <c r="O42" s="64"/>
      <c r="P42" s="63"/>
      <c r="Q42" s="64"/>
      <c r="R42" s="64"/>
      <c r="S42" s="64"/>
      <c r="T42" s="64"/>
      <c r="U42" s="64">
        <f>T42+Q42+O42+L42+K42+H42+I42</f>
        <v>45405.25</v>
      </c>
      <c r="V42" s="64">
        <f>(8000*9.5)-I42</f>
        <v>34722.5</v>
      </c>
      <c r="W42" s="84">
        <f t="shared" si="7"/>
        <v>80127.75</v>
      </c>
    </row>
    <row r="43" spans="1:23" s="3" customFormat="1" ht="21" customHeight="1" x14ac:dyDescent="0.3">
      <c r="A43" s="51">
        <v>26</v>
      </c>
      <c r="B43" s="2">
        <v>9152</v>
      </c>
      <c r="C43" s="95" t="s">
        <v>36</v>
      </c>
      <c r="D43" s="63">
        <v>2</v>
      </c>
      <c r="E43" s="63">
        <v>1</v>
      </c>
      <c r="F43" s="63">
        <v>3195</v>
      </c>
      <c r="G43" s="63"/>
      <c r="H43" s="64"/>
      <c r="I43" s="64">
        <f t="shared" si="8"/>
        <v>6390</v>
      </c>
      <c r="J43" s="65"/>
      <c r="K43" s="64"/>
      <c r="L43" s="64"/>
      <c r="M43" s="65"/>
      <c r="N43" s="64"/>
      <c r="O43" s="64"/>
      <c r="P43" s="65">
        <v>0.35</v>
      </c>
      <c r="Q43" s="64">
        <f>I43*35%</f>
        <v>2236.5</v>
      </c>
      <c r="R43" s="64"/>
      <c r="S43" s="64"/>
      <c r="T43" s="64"/>
      <c r="U43" s="64">
        <f>T43+Q43+O43+L43+K43+H43+I43</f>
        <v>8626.5</v>
      </c>
      <c r="V43" s="64">
        <f>(8000*2)-I43</f>
        <v>9610</v>
      </c>
      <c r="W43" s="84">
        <f t="shared" si="7"/>
        <v>18236.5</v>
      </c>
    </row>
    <row r="44" spans="1:23" s="3" customFormat="1" ht="21" customHeight="1" thickBot="1" x14ac:dyDescent="0.35">
      <c r="A44" s="52">
        <v>27</v>
      </c>
      <c r="B44" s="4">
        <v>9162</v>
      </c>
      <c r="C44" s="100" t="s">
        <v>37</v>
      </c>
      <c r="D44" s="71">
        <v>2</v>
      </c>
      <c r="E44" s="71">
        <v>1</v>
      </c>
      <c r="F44" s="71">
        <v>3195</v>
      </c>
      <c r="G44" s="71"/>
      <c r="H44" s="72"/>
      <c r="I44" s="72">
        <f t="shared" si="8"/>
        <v>6390</v>
      </c>
      <c r="J44" s="73"/>
      <c r="K44" s="72"/>
      <c r="L44" s="72"/>
      <c r="M44" s="73"/>
      <c r="N44" s="72"/>
      <c r="O44" s="72"/>
      <c r="P44" s="71"/>
      <c r="Q44" s="72"/>
      <c r="R44" s="72"/>
      <c r="S44" s="72"/>
      <c r="T44" s="72"/>
      <c r="U44" s="72">
        <f>T44+Q44+O44+L44+K44+H44+I44</f>
        <v>6390</v>
      </c>
      <c r="V44" s="72">
        <f>(8000*2)-I44</f>
        <v>9610</v>
      </c>
      <c r="W44" s="85">
        <f t="shared" si="7"/>
        <v>16000</v>
      </c>
    </row>
    <row r="45" spans="1:23" s="3" customFormat="1" ht="15.75" customHeight="1" thickBot="1" x14ac:dyDescent="0.4">
      <c r="A45" s="27"/>
      <c r="B45" s="19"/>
      <c r="C45" s="93" t="s">
        <v>22</v>
      </c>
      <c r="D45" s="86">
        <f>SUM(D30:D44)</f>
        <v>28.25</v>
      </c>
      <c r="E45" s="87"/>
      <c r="F45" s="88"/>
      <c r="G45" s="88"/>
      <c r="H45" s="89"/>
      <c r="I45" s="86">
        <f>SUM(I30:I44)</f>
        <v>108303.25</v>
      </c>
      <c r="J45" s="90"/>
      <c r="K45" s="86">
        <f>SUM(K30:K44)</f>
        <v>7185.82</v>
      </c>
      <c r="L45" s="86"/>
      <c r="M45" s="86"/>
      <c r="N45" s="86">
        <f>SUM(N30:N44)</f>
        <v>2460</v>
      </c>
      <c r="O45" s="86">
        <f>SUM(O30:O44)</f>
        <v>405.8</v>
      </c>
      <c r="P45" s="90"/>
      <c r="Q45" s="86">
        <f>SUM(Q30:Q44)</f>
        <v>7112.7</v>
      </c>
      <c r="R45" s="90"/>
      <c r="S45" s="90"/>
      <c r="T45" s="90"/>
      <c r="U45" s="86">
        <f>SUM(U30:U44)</f>
        <v>125467.57</v>
      </c>
      <c r="V45" s="86">
        <f>SUM(V30:V44)</f>
        <v>114830.95</v>
      </c>
      <c r="W45" s="91">
        <f>SUM(W30:W44)</f>
        <v>240298.52000000002</v>
      </c>
    </row>
    <row r="46" spans="1:23" s="3" customFormat="1" ht="38.25" customHeight="1" thickBot="1" x14ac:dyDescent="0.4">
      <c r="A46" s="61"/>
      <c r="B46" s="19"/>
      <c r="C46" s="62" t="s">
        <v>23</v>
      </c>
      <c r="D46" s="86">
        <f>D29+D45</f>
        <v>51.15</v>
      </c>
      <c r="E46" s="92"/>
      <c r="F46" s="90"/>
      <c r="G46" s="86">
        <f>G29+G45</f>
        <v>6028.88</v>
      </c>
      <c r="H46" s="86">
        <f>H29+H45</f>
        <v>267.42</v>
      </c>
      <c r="I46" s="86">
        <f>I29+I45</f>
        <v>281907.96999999997</v>
      </c>
      <c r="J46" s="90"/>
      <c r="K46" s="86">
        <f>K45+K29</f>
        <v>7185.82</v>
      </c>
      <c r="L46" s="86">
        <f>L29+L45</f>
        <v>49637.315999999992</v>
      </c>
      <c r="M46" s="86"/>
      <c r="N46" s="86">
        <f>N29+N45</f>
        <v>89262.35</v>
      </c>
      <c r="O46" s="86">
        <f>O29+O45</f>
        <v>405.8</v>
      </c>
      <c r="P46" s="90"/>
      <c r="Q46" s="86">
        <f>Q45+Q29</f>
        <v>7112.7</v>
      </c>
      <c r="R46" s="90"/>
      <c r="S46" s="86">
        <f>S29+S45</f>
        <v>39102.906000000003</v>
      </c>
      <c r="T46" s="90"/>
      <c r="U46" s="86">
        <f>U45+U29</f>
        <v>474614.87200000003</v>
      </c>
      <c r="V46" s="86">
        <f>V45+V29</f>
        <v>114830.95</v>
      </c>
      <c r="W46" s="86">
        <f>W45+W29</f>
        <v>589445.82200000004</v>
      </c>
    </row>
    <row r="47" spans="1:23" s="3" customFormat="1" ht="18" customHeight="1" x14ac:dyDescent="0.25">
      <c r="A47" s="25"/>
      <c r="B47" s="25"/>
      <c r="C47" s="5"/>
      <c r="D47" s="6"/>
      <c r="E47" s="46"/>
      <c r="F47" s="7"/>
      <c r="G47" s="6"/>
      <c r="H47" s="6"/>
      <c r="I47" s="6"/>
      <c r="J47" s="7"/>
      <c r="K47" s="6"/>
      <c r="L47" s="6"/>
      <c r="M47" s="6"/>
      <c r="N47" s="6"/>
      <c r="O47" s="8"/>
      <c r="P47" s="7"/>
      <c r="Q47" s="6"/>
      <c r="R47" s="7"/>
      <c r="S47" s="6"/>
      <c r="T47" s="7"/>
      <c r="U47" s="6"/>
      <c r="V47" s="6"/>
      <c r="W47" s="6"/>
    </row>
    <row r="48" spans="1:23" s="3" customFormat="1" ht="22.5" customHeight="1" x14ac:dyDescent="0.25">
      <c r="A48" s="25"/>
      <c r="B48" s="25"/>
      <c r="C48" s="5"/>
      <c r="D48" s="6"/>
      <c r="E48" s="46"/>
      <c r="F48" s="7"/>
      <c r="G48" s="6"/>
      <c r="H48" s="6"/>
      <c r="I48" s="6"/>
      <c r="J48" s="7"/>
      <c r="K48" s="6"/>
      <c r="L48" s="6"/>
      <c r="M48" s="6"/>
      <c r="N48" s="6"/>
      <c r="O48" s="8"/>
      <c r="P48" s="7"/>
      <c r="Q48" s="6"/>
      <c r="R48" s="7"/>
      <c r="S48" s="6"/>
      <c r="T48" s="7"/>
      <c r="U48" s="6"/>
      <c r="V48" s="6"/>
      <c r="W48" s="6"/>
    </row>
    <row r="49" spans="1:23" s="3" customFormat="1" ht="15.75" x14ac:dyDescent="0.25">
      <c r="A49" s="25"/>
      <c r="B49" s="25"/>
      <c r="C49" s="5"/>
      <c r="D49" s="6"/>
      <c r="E49" s="46"/>
      <c r="F49" s="7"/>
      <c r="G49" s="6"/>
      <c r="H49" s="6"/>
      <c r="I49" s="6"/>
      <c r="J49" s="7"/>
      <c r="K49" s="6"/>
      <c r="L49" s="6"/>
      <c r="M49" s="6"/>
      <c r="N49" s="6"/>
      <c r="O49" s="8"/>
      <c r="P49" s="7"/>
      <c r="Q49" s="6"/>
      <c r="R49" s="7"/>
      <c r="S49" s="6"/>
      <c r="T49" s="7"/>
      <c r="U49" s="6"/>
      <c r="V49" s="6"/>
      <c r="W49" s="6"/>
    </row>
    <row r="50" spans="1:23" s="3" customFormat="1" x14ac:dyDescent="0.2">
      <c r="L50" s="9"/>
      <c r="M50" s="9"/>
      <c r="N50" s="9"/>
    </row>
    <row r="51" spans="1:23" s="3" customFormat="1" x14ac:dyDescent="0.2">
      <c r="A51" s="24"/>
      <c r="B51" s="24" t="s">
        <v>74</v>
      </c>
      <c r="C51" s="24"/>
      <c r="D51" s="24"/>
      <c r="E51" s="24" t="s">
        <v>70</v>
      </c>
      <c r="F51" s="24"/>
      <c r="G51" s="24"/>
      <c r="O51" s="9"/>
      <c r="U51" s="10"/>
      <c r="V51" s="10"/>
      <c r="W51" s="10"/>
    </row>
    <row r="52" spans="1:23" s="3" customFormat="1" x14ac:dyDescent="0.2">
      <c r="A52" s="24"/>
      <c r="B52" s="24"/>
      <c r="C52" s="24"/>
      <c r="D52" s="24"/>
      <c r="E52" s="24"/>
      <c r="F52" s="24"/>
      <c r="G52" s="24"/>
    </row>
    <row r="53" spans="1:23" s="3" customFormat="1" x14ac:dyDescent="0.2">
      <c r="A53" s="24"/>
      <c r="B53" s="24" t="s">
        <v>69</v>
      </c>
      <c r="C53" s="24"/>
      <c r="D53" s="24"/>
      <c r="E53" s="24" t="s">
        <v>71</v>
      </c>
      <c r="F53" s="24"/>
      <c r="G53" s="24"/>
    </row>
    <row r="54" spans="1:23" s="3" customFormat="1" x14ac:dyDescent="0.2">
      <c r="A54" s="24"/>
      <c r="B54" s="24"/>
      <c r="C54" s="24"/>
      <c r="D54" s="24"/>
      <c r="E54" s="24"/>
      <c r="F54" s="24"/>
      <c r="G54" s="24"/>
    </row>
    <row r="55" spans="1:23" s="3" customFormat="1" x14ac:dyDescent="0.2">
      <c r="A55" s="24"/>
      <c r="B55" s="24" t="s">
        <v>80</v>
      </c>
      <c r="C55" s="24"/>
      <c r="D55" s="24"/>
      <c r="E55" s="24" t="s">
        <v>72</v>
      </c>
      <c r="F55" s="24"/>
      <c r="G55" s="24"/>
    </row>
    <row r="56" spans="1:23" s="3" customFormat="1" x14ac:dyDescent="0.2"/>
    <row r="57" spans="1:23" s="3" customFormat="1" x14ac:dyDescent="0.2"/>
    <row r="58" spans="1:23" s="3" customFormat="1" x14ac:dyDescent="0.2"/>
    <row r="63" spans="1:23" s="3" customFormat="1" x14ac:dyDescent="0.2"/>
    <row r="64" spans="1:23" s="3" customFormat="1" x14ac:dyDescent="0.2"/>
    <row r="65" s="3" customFormat="1" x14ac:dyDescent="0.2"/>
    <row r="66" s="3" customFormat="1" x14ac:dyDescent="0.2"/>
    <row r="67" s="3" customFormat="1" x14ac:dyDescent="0.2"/>
  </sheetData>
  <mergeCells count="26">
    <mergeCell ref="V14:V16"/>
    <mergeCell ref="W14:W16"/>
    <mergeCell ref="O15:O16"/>
    <mergeCell ref="P15:Q15"/>
    <mergeCell ref="R15:S15"/>
    <mergeCell ref="T14:T16"/>
    <mergeCell ref="U14:U16"/>
    <mergeCell ref="H14:H16"/>
    <mergeCell ref="I14:I16"/>
    <mergeCell ref="J14:L14"/>
    <mergeCell ref="O14:S14"/>
    <mergeCell ref="J15:J16"/>
    <mergeCell ref="K15:K16"/>
    <mergeCell ref="L15:L16"/>
    <mergeCell ref="M15:M16"/>
    <mergeCell ref="N15:N16"/>
    <mergeCell ref="V1:W2"/>
    <mergeCell ref="P3:R3"/>
    <mergeCell ref="S11:U11"/>
    <mergeCell ref="V11:W11"/>
    <mergeCell ref="P13:U13"/>
    <mergeCell ref="C14:C16"/>
    <mergeCell ref="D14:D16"/>
    <mergeCell ref="E14:E16"/>
    <mergeCell ref="F14:F16"/>
    <mergeCell ref="G14:G16"/>
  </mergeCells>
  <pageMargins left="0.31496062992125984" right="0.23622047244094491" top="0.59055118110236227" bottom="0.51181102362204722" header="0.39370078740157483" footer="0.31496062992125984"/>
  <pageSetup paperSize="9" scale="54" fitToHeight="2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3" sqref="H33"/>
    </sheetView>
  </sheetViews>
  <sheetFormatPr defaultRowHeight="12.7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квітень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вова</dc:creator>
  <cp:lastModifiedBy>podolinna</cp:lastModifiedBy>
  <cp:lastPrinted>2024-01-15T07:09:45Z</cp:lastPrinted>
  <dcterms:created xsi:type="dcterms:W3CDTF">2010-02-24T10:05:49Z</dcterms:created>
  <dcterms:modified xsi:type="dcterms:W3CDTF">2024-04-08T07:34:14Z</dcterms:modified>
</cp:coreProperties>
</file>