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2" sheetId="1" r:id="rId1"/>
    <sheet name="Лист3" sheetId="2" r:id="rId2"/>
  </sheets>
  <definedNames>
    <definedName name="_xlnm.Print_Area" localSheetId="0">Лист2!$A$1:$Q$122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9" i="1" l="1"/>
  <c r="L35" i="1" l="1"/>
  <c r="G35" i="1"/>
  <c r="G127" i="1" l="1"/>
  <c r="F106" i="1"/>
  <c r="G56" i="1" l="1"/>
  <c r="G84" i="1"/>
  <c r="L94" i="1"/>
  <c r="K94" i="1" s="1"/>
  <c r="K93" i="1" s="1"/>
  <c r="G44" i="1"/>
  <c r="G19" i="1"/>
  <c r="G18" i="1" s="1"/>
  <c r="G129" i="1"/>
  <c r="Q120" i="1"/>
  <c r="P120" i="1"/>
  <c r="F120" i="1"/>
  <c r="P119" i="1"/>
  <c r="L119" i="1"/>
  <c r="K119" i="1"/>
  <c r="G119" i="1"/>
  <c r="F119" i="1"/>
  <c r="Q119" i="1" s="1"/>
  <c r="G118" i="1"/>
  <c r="F118" i="1" s="1"/>
  <c r="P117" i="1"/>
  <c r="P115" i="1" s="1"/>
  <c r="P108" i="1" s="1"/>
  <c r="P107" i="1" s="1"/>
  <c r="K117" i="1"/>
  <c r="Q117" i="1" s="1"/>
  <c r="F117" i="1"/>
  <c r="Q116" i="1"/>
  <c r="F116" i="1"/>
  <c r="O115" i="1"/>
  <c r="O108" i="1" s="1"/>
  <c r="O107" i="1" s="1"/>
  <c r="N115" i="1"/>
  <c r="M115" i="1"/>
  <c r="M108" i="1" s="1"/>
  <c r="M107" i="1" s="1"/>
  <c r="L115" i="1"/>
  <c r="K115" i="1"/>
  <c r="K108" i="1" s="1"/>
  <c r="J115" i="1"/>
  <c r="I115" i="1"/>
  <c r="H115" i="1"/>
  <c r="G115" i="1"/>
  <c r="G108" i="1" s="1"/>
  <c r="G107" i="1" s="1"/>
  <c r="K110" i="1"/>
  <c r="I110" i="1"/>
  <c r="I109" i="1" s="1"/>
  <c r="I108" i="1" s="1"/>
  <c r="I107" i="1" s="1"/>
  <c r="G110" i="1"/>
  <c r="F110" i="1"/>
  <c r="Q110" i="1" s="1"/>
  <c r="P109" i="1"/>
  <c r="O109" i="1"/>
  <c r="N109" i="1"/>
  <c r="M109" i="1"/>
  <c r="L109" i="1"/>
  <c r="K109" i="1"/>
  <c r="J109" i="1"/>
  <c r="H109" i="1"/>
  <c r="G109" i="1"/>
  <c r="F109" i="1"/>
  <c r="Q109" i="1" s="1"/>
  <c r="N108" i="1"/>
  <c r="L108" i="1"/>
  <c r="J108" i="1"/>
  <c r="H108" i="1"/>
  <c r="N107" i="1"/>
  <c r="L107" i="1"/>
  <c r="J107" i="1"/>
  <c r="H107" i="1"/>
  <c r="P105" i="1"/>
  <c r="O105" i="1"/>
  <c r="N105" i="1"/>
  <c r="M105" i="1"/>
  <c r="L105" i="1"/>
  <c r="K105" i="1"/>
  <c r="J105" i="1"/>
  <c r="I105" i="1"/>
  <c r="H105" i="1"/>
  <c r="G105" i="1"/>
  <c r="F105" i="1"/>
  <c r="Q105" i="1" s="1"/>
  <c r="K104" i="1"/>
  <c r="Q104" i="1" s="1"/>
  <c r="Q103" i="1" s="1"/>
  <c r="P103" i="1"/>
  <c r="O103" i="1"/>
  <c r="N103" i="1"/>
  <c r="M103" i="1"/>
  <c r="L103" i="1"/>
  <c r="J103" i="1"/>
  <c r="I103" i="1"/>
  <c r="H103" i="1"/>
  <c r="G103" i="1"/>
  <c r="F103" i="1"/>
  <c r="P102" i="1"/>
  <c r="O102" i="1"/>
  <c r="N102" i="1"/>
  <c r="M102" i="1"/>
  <c r="L102" i="1"/>
  <c r="J102" i="1"/>
  <c r="I102" i="1"/>
  <c r="H102" i="1"/>
  <c r="G102" i="1"/>
  <c r="F102" i="1"/>
  <c r="P101" i="1"/>
  <c r="O101" i="1"/>
  <c r="N101" i="1"/>
  <c r="M101" i="1"/>
  <c r="L101" i="1"/>
  <c r="J101" i="1"/>
  <c r="I101" i="1"/>
  <c r="H101" i="1"/>
  <c r="G101" i="1"/>
  <c r="F101" i="1"/>
  <c r="I100" i="1"/>
  <c r="G100" i="1"/>
  <c r="F100" i="1"/>
  <c r="F98" i="1" s="1"/>
  <c r="G99" i="1"/>
  <c r="F99" i="1" s="1"/>
  <c r="Q99" i="1" s="1"/>
  <c r="P98" i="1"/>
  <c r="O98" i="1"/>
  <c r="N98" i="1"/>
  <c r="M98" i="1"/>
  <c r="L98" i="1"/>
  <c r="K98" i="1"/>
  <c r="J98" i="1"/>
  <c r="I98" i="1"/>
  <c r="H98" i="1"/>
  <c r="G98" i="1"/>
  <c r="M97" i="1"/>
  <c r="K97" i="1"/>
  <c r="Q97" i="1" s="1"/>
  <c r="F97" i="1"/>
  <c r="P96" i="1"/>
  <c r="O96" i="1"/>
  <c r="N96" i="1"/>
  <c r="M96" i="1"/>
  <c r="L96" i="1"/>
  <c r="K96" i="1"/>
  <c r="Q96" i="1" s="1"/>
  <c r="J96" i="1"/>
  <c r="I96" i="1"/>
  <c r="H96" i="1"/>
  <c r="G96" i="1"/>
  <c r="F96" i="1"/>
  <c r="K95" i="1"/>
  <c r="G95" i="1"/>
  <c r="F95" i="1" s="1"/>
  <c r="G94" i="1"/>
  <c r="F94" i="1" s="1"/>
  <c r="O93" i="1"/>
  <c r="N93" i="1"/>
  <c r="M93" i="1"/>
  <c r="J93" i="1"/>
  <c r="I93" i="1"/>
  <c r="H93" i="1"/>
  <c r="G93" i="1"/>
  <c r="Q92" i="1"/>
  <c r="G92" i="1"/>
  <c r="F92" i="1"/>
  <c r="P91" i="1"/>
  <c r="O91" i="1"/>
  <c r="N91" i="1"/>
  <c r="M91" i="1"/>
  <c r="L91" i="1"/>
  <c r="K91" i="1"/>
  <c r="J91" i="1"/>
  <c r="I91" i="1"/>
  <c r="H91" i="1"/>
  <c r="G91" i="1"/>
  <c r="F91" i="1"/>
  <c r="Q91" i="1" s="1"/>
  <c r="Q90" i="1" s="1"/>
  <c r="P90" i="1"/>
  <c r="O90" i="1"/>
  <c r="N90" i="1"/>
  <c r="M90" i="1"/>
  <c r="L90" i="1"/>
  <c r="K90" i="1"/>
  <c r="J90" i="1"/>
  <c r="I90" i="1"/>
  <c r="H90" i="1"/>
  <c r="G90" i="1"/>
  <c r="F90" i="1"/>
  <c r="P89" i="1"/>
  <c r="L89" i="1"/>
  <c r="K89" i="1"/>
  <c r="K88" i="1" s="1"/>
  <c r="P88" i="1"/>
  <c r="O88" i="1"/>
  <c r="N88" i="1"/>
  <c r="M88" i="1"/>
  <c r="L88" i="1"/>
  <c r="J88" i="1"/>
  <c r="I88" i="1"/>
  <c r="H88" i="1"/>
  <c r="G88" i="1"/>
  <c r="F88" i="1"/>
  <c r="P87" i="1"/>
  <c r="O87" i="1"/>
  <c r="N87" i="1"/>
  <c r="M87" i="1"/>
  <c r="L87" i="1"/>
  <c r="K87" i="1"/>
  <c r="J87" i="1"/>
  <c r="I87" i="1"/>
  <c r="H87" i="1"/>
  <c r="G87" i="1"/>
  <c r="F87" i="1"/>
  <c r="Q87" i="1" s="1"/>
  <c r="Q86" i="1" s="1"/>
  <c r="P86" i="1"/>
  <c r="O86" i="1"/>
  <c r="N86" i="1"/>
  <c r="M86" i="1"/>
  <c r="L86" i="1"/>
  <c r="K86" i="1"/>
  <c r="J86" i="1"/>
  <c r="I86" i="1"/>
  <c r="H86" i="1"/>
  <c r="G86" i="1"/>
  <c r="F86" i="1"/>
  <c r="P85" i="1"/>
  <c r="P83" i="1" s="1"/>
  <c r="K85" i="1"/>
  <c r="I85" i="1"/>
  <c r="G85" i="1"/>
  <c r="F85" i="1"/>
  <c r="Q85" i="1" s="1"/>
  <c r="F84" i="1"/>
  <c r="O83" i="1"/>
  <c r="N83" i="1"/>
  <c r="M83" i="1"/>
  <c r="L83" i="1"/>
  <c r="K83" i="1"/>
  <c r="J83" i="1"/>
  <c r="I83" i="1"/>
  <c r="H83" i="1"/>
  <c r="G83" i="1"/>
  <c r="G78" i="1"/>
  <c r="F78" i="1"/>
  <c r="Q78" i="1" s="1"/>
  <c r="Q77" i="1" s="1"/>
  <c r="Q76" i="1" s="1"/>
  <c r="P77" i="1"/>
  <c r="O77" i="1"/>
  <c r="N77" i="1"/>
  <c r="M77" i="1"/>
  <c r="L77" i="1"/>
  <c r="K77" i="1"/>
  <c r="J77" i="1"/>
  <c r="I77" i="1"/>
  <c r="H77" i="1"/>
  <c r="G77" i="1"/>
  <c r="F77" i="1"/>
  <c r="P76" i="1"/>
  <c r="O76" i="1"/>
  <c r="N76" i="1"/>
  <c r="M76" i="1"/>
  <c r="L76" i="1"/>
  <c r="K76" i="1"/>
  <c r="J76" i="1"/>
  <c r="I76" i="1"/>
  <c r="H76" i="1"/>
  <c r="G76" i="1"/>
  <c r="F76" i="1"/>
  <c r="G75" i="1"/>
  <c r="F75" i="1" s="1"/>
  <c r="P74" i="1"/>
  <c r="O74" i="1"/>
  <c r="N74" i="1"/>
  <c r="M74" i="1"/>
  <c r="L74" i="1"/>
  <c r="K74" i="1"/>
  <c r="J74" i="1"/>
  <c r="I74" i="1"/>
  <c r="H74" i="1"/>
  <c r="G74" i="1"/>
  <c r="L73" i="1"/>
  <c r="K73" i="1" s="1"/>
  <c r="I73" i="1"/>
  <c r="I72" i="1" s="1"/>
  <c r="G73" i="1"/>
  <c r="F73" i="1"/>
  <c r="O72" i="1"/>
  <c r="N72" i="1"/>
  <c r="N70" i="1" s="1"/>
  <c r="M72" i="1"/>
  <c r="L72" i="1"/>
  <c r="L70" i="1" s="1"/>
  <c r="J72" i="1"/>
  <c r="J70" i="1" s="1"/>
  <c r="H72" i="1"/>
  <c r="H70" i="1" s="1"/>
  <c r="G72" i="1"/>
  <c r="F72" i="1"/>
  <c r="Q71" i="1"/>
  <c r="I71" i="1"/>
  <c r="F71" i="1"/>
  <c r="O70" i="1"/>
  <c r="M70" i="1"/>
  <c r="G70" i="1"/>
  <c r="Q69" i="1"/>
  <c r="F69" i="1"/>
  <c r="G68" i="1"/>
  <c r="F68" i="1" s="1"/>
  <c r="Q68" i="1" s="1"/>
  <c r="K67" i="1"/>
  <c r="G67" i="1"/>
  <c r="F67" i="1" s="1"/>
  <c r="P66" i="1"/>
  <c r="O66" i="1"/>
  <c r="O48" i="1" s="1"/>
  <c r="N66" i="1"/>
  <c r="M66" i="1"/>
  <c r="M48" i="1" s="1"/>
  <c r="L66" i="1"/>
  <c r="K66" i="1"/>
  <c r="K48" i="1" s="1"/>
  <c r="J66" i="1"/>
  <c r="I66" i="1"/>
  <c r="I48" i="1" s="1"/>
  <c r="H66" i="1"/>
  <c r="G66" i="1"/>
  <c r="H65" i="1"/>
  <c r="G65" i="1"/>
  <c r="F65" i="1" s="1"/>
  <c r="Q65" i="1" s="1"/>
  <c r="Q64" i="1"/>
  <c r="G64" i="1"/>
  <c r="F64" i="1"/>
  <c r="Q63" i="1"/>
  <c r="G63" i="1"/>
  <c r="F63" i="1"/>
  <c r="F62" i="1"/>
  <c r="Q62" i="1" s="1"/>
  <c r="G61" i="1"/>
  <c r="F61" i="1" s="1"/>
  <c r="Q61" i="1" s="1"/>
  <c r="E61" i="1"/>
  <c r="G60" i="1"/>
  <c r="F60" i="1" s="1"/>
  <c r="Q60" i="1" s="1"/>
  <c r="E60" i="1"/>
  <c r="G59" i="1"/>
  <c r="F59" i="1" s="1"/>
  <c r="Q59" i="1" s="1"/>
  <c r="Q58" i="1"/>
  <c r="G58" i="1"/>
  <c r="F58" i="1"/>
  <c r="E58" i="1"/>
  <c r="E64" i="1" s="1"/>
  <c r="Q57" i="1"/>
  <c r="G57" i="1"/>
  <c r="F57" i="1"/>
  <c r="G51" i="1"/>
  <c r="F51" i="1"/>
  <c r="Q51" i="1" s="1"/>
  <c r="F50" i="1"/>
  <c r="Q50" i="1" s="1"/>
  <c r="P49" i="1"/>
  <c r="P48" i="1" s="1"/>
  <c r="O49" i="1"/>
  <c r="N49" i="1"/>
  <c r="M49" i="1"/>
  <c r="L49" i="1"/>
  <c r="L48" i="1" s="1"/>
  <c r="K49" i="1"/>
  <c r="J49" i="1"/>
  <c r="I49" i="1"/>
  <c r="H49" i="1"/>
  <c r="H48" i="1" s="1"/>
  <c r="N48" i="1"/>
  <c r="J48" i="1"/>
  <c r="G47" i="1"/>
  <c r="F45" i="1"/>
  <c r="Q45" i="1" s="1"/>
  <c r="E45" i="1"/>
  <c r="F44" i="1"/>
  <c r="Q44" i="1" s="1"/>
  <c r="P43" i="1"/>
  <c r="O43" i="1"/>
  <c r="N43" i="1"/>
  <c r="M43" i="1"/>
  <c r="L43" i="1"/>
  <c r="L42" i="1" s="1"/>
  <c r="L41" i="1" s="1"/>
  <c r="L40" i="1" s="1"/>
  <c r="L39" i="1" s="1"/>
  <c r="L38" i="1" s="1"/>
  <c r="L37" i="1" s="1"/>
  <c r="L36" i="1" s="1"/>
  <c r="K43" i="1"/>
  <c r="J43" i="1"/>
  <c r="J42" i="1" s="1"/>
  <c r="J41" i="1" s="1"/>
  <c r="J40" i="1" s="1"/>
  <c r="J39" i="1" s="1"/>
  <c r="J38" i="1" s="1"/>
  <c r="J37" i="1" s="1"/>
  <c r="J36" i="1" s="1"/>
  <c r="I43" i="1"/>
  <c r="H43" i="1"/>
  <c r="H42" i="1" s="1"/>
  <c r="H41" i="1" s="1"/>
  <c r="G43" i="1"/>
  <c r="F43" i="1" s="1"/>
  <c r="Q43" i="1" s="1"/>
  <c r="P42" i="1"/>
  <c r="P41" i="1" s="1"/>
  <c r="P40" i="1" s="1"/>
  <c r="P39" i="1" s="1"/>
  <c r="P38" i="1" s="1"/>
  <c r="P37" i="1" s="1"/>
  <c r="P36" i="1" s="1"/>
  <c r="O42" i="1"/>
  <c r="N42" i="1"/>
  <c r="N41" i="1" s="1"/>
  <c r="N40" i="1" s="1"/>
  <c r="N39" i="1" s="1"/>
  <c r="N38" i="1" s="1"/>
  <c r="N37" i="1" s="1"/>
  <c r="N36" i="1" s="1"/>
  <c r="K42" i="1"/>
  <c r="K41" i="1" s="1"/>
  <c r="K40" i="1" s="1"/>
  <c r="K39" i="1" s="1"/>
  <c r="K38" i="1" s="1"/>
  <c r="I42" i="1"/>
  <c r="O41" i="1"/>
  <c r="O40" i="1" s="1"/>
  <c r="O39" i="1" s="1"/>
  <c r="O38" i="1" s="1"/>
  <c r="O37" i="1" s="1"/>
  <c r="M41" i="1"/>
  <c r="I41" i="1"/>
  <c r="I40" i="1" s="1"/>
  <c r="I39" i="1" s="1"/>
  <c r="M40" i="1"/>
  <c r="M39" i="1" s="1"/>
  <c r="M38" i="1" s="1"/>
  <c r="M37" i="1" s="1"/>
  <c r="H40" i="1"/>
  <c r="G40" i="1"/>
  <c r="F40" i="1" s="1"/>
  <c r="Q40" i="1" s="1"/>
  <c r="H39" i="1"/>
  <c r="I38" i="1"/>
  <c r="I36" i="1" s="1"/>
  <c r="H38" i="1"/>
  <c r="H36" i="1" s="1"/>
  <c r="G38" i="1"/>
  <c r="F38" i="1" s="1"/>
  <c r="F37" i="1"/>
  <c r="E37" i="1"/>
  <c r="G36" i="1"/>
  <c r="F36" i="1" s="1"/>
  <c r="P35" i="1"/>
  <c r="P34" i="1" s="1"/>
  <c r="P33" i="1" s="1"/>
  <c r="K35" i="1"/>
  <c r="L34" i="1"/>
  <c r="L33" i="1" s="1"/>
  <c r="J34" i="1"/>
  <c r="J33" i="1" s="1"/>
  <c r="I34" i="1"/>
  <c r="H34" i="1"/>
  <c r="G34" i="1"/>
  <c r="F35" i="1" s="1"/>
  <c r="F34" i="1" s="1"/>
  <c r="F33" i="1" s="1"/>
  <c r="I33" i="1"/>
  <c r="H33" i="1"/>
  <c r="H32" i="1"/>
  <c r="G32" i="1"/>
  <c r="F32" i="1" s="1"/>
  <c r="P31" i="1"/>
  <c r="O31" i="1"/>
  <c r="N31" i="1"/>
  <c r="M31" i="1"/>
  <c r="L31" i="1"/>
  <c r="K31" i="1"/>
  <c r="J31" i="1"/>
  <c r="I31" i="1"/>
  <c r="H31" i="1"/>
  <c r="G31" i="1"/>
  <c r="P30" i="1"/>
  <c r="O30" i="1"/>
  <c r="N30" i="1"/>
  <c r="M30" i="1"/>
  <c r="L30" i="1"/>
  <c r="K30" i="1"/>
  <c r="J30" i="1"/>
  <c r="I30" i="1"/>
  <c r="H30" i="1"/>
  <c r="G30" i="1"/>
  <c r="Q25" i="1"/>
  <c r="H25" i="1"/>
  <c r="F25" i="1"/>
  <c r="I24" i="1"/>
  <c r="G24" i="1" s="1"/>
  <c r="F24" i="1" s="1"/>
  <c r="Q24" i="1" s="1"/>
  <c r="P23" i="1"/>
  <c r="K23" i="1"/>
  <c r="I23" i="1"/>
  <c r="G23" i="1"/>
  <c r="F23" i="1" s="1"/>
  <c r="P22" i="1"/>
  <c r="P21" i="1" s="1"/>
  <c r="P17" i="1" s="1"/>
  <c r="O22" i="1"/>
  <c r="N22" i="1"/>
  <c r="M22" i="1"/>
  <c r="L22" i="1"/>
  <c r="L21" i="1" s="1"/>
  <c r="K22" i="1"/>
  <c r="J22" i="1"/>
  <c r="H22" i="1"/>
  <c r="G22" i="1"/>
  <c r="G21" i="1" s="1"/>
  <c r="O21" i="1"/>
  <c r="N21" i="1"/>
  <c r="M21" i="1"/>
  <c r="K21" i="1"/>
  <c r="J21" i="1"/>
  <c r="H21" i="1"/>
  <c r="G20" i="1"/>
  <c r="L19" i="1"/>
  <c r="P19" i="1" s="1"/>
  <c r="K19" i="1"/>
  <c r="K18" i="1" s="1"/>
  <c r="I19" i="1"/>
  <c r="F19" i="1"/>
  <c r="P18" i="1"/>
  <c r="O18" i="1"/>
  <c r="N18" i="1"/>
  <c r="M18" i="1"/>
  <c r="L18" i="1"/>
  <c r="J18" i="1"/>
  <c r="J17" i="1" s="1"/>
  <c r="J13" i="1" s="1"/>
  <c r="J12" i="1" s="1"/>
  <c r="I18" i="1"/>
  <c r="H18" i="1"/>
  <c r="H17" i="1" s="1"/>
  <c r="H13" i="1" s="1"/>
  <c r="H12" i="1" s="1"/>
  <c r="Q16" i="1"/>
  <c r="F16" i="1"/>
  <c r="K15" i="1"/>
  <c r="I15" i="1"/>
  <c r="H15" i="1"/>
  <c r="G15" i="1"/>
  <c r="F15" i="1" s="1"/>
  <c r="P14" i="1"/>
  <c r="O14" i="1"/>
  <c r="N14" i="1"/>
  <c r="M14" i="1"/>
  <c r="L14" i="1"/>
  <c r="K14" i="1"/>
  <c r="J14" i="1"/>
  <c r="I14" i="1"/>
  <c r="H14" i="1"/>
  <c r="G14" i="1"/>
  <c r="K9" i="1"/>
  <c r="L17" i="1" l="1"/>
  <c r="G33" i="1"/>
  <c r="Q35" i="1"/>
  <c r="Q34" i="1" s="1"/>
  <c r="Q33" i="1" s="1"/>
  <c r="G42" i="1"/>
  <c r="O36" i="1"/>
  <c r="O35" i="1"/>
  <c r="O34" i="1" s="1"/>
  <c r="O33" i="1" s="1"/>
  <c r="F22" i="1"/>
  <c r="F21" i="1" s="1"/>
  <c r="Q21" i="1" s="1"/>
  <c r="Q23" i="1"/>
  <c r="Q22" i="1" s="1"/>
  <c r="F31" i="1"/>
  <c r="Q32" i="1"/>
  <c r="M35" i="1"/>
  <c r="M34" i="1" s="1"/>
  <c r="M33" i="1" s="1"/>
  <c r="M36" i="1"/>
  <c r="F14" i="1"/>
  <c r="Q15" i="1"/>
  <c r="M17" i="1"/>
  <c r="M13" i="1" s="1"/>
  <c r="M12" i="1" s="1"/>
  <c r="K37" i="1"/>
  <c r="Q38" i="1"/>
  <c r="I70" i="1"/>
  <c r="Q93" i="1"/>
  <c r="K107" i="1"/>
  <c r="K34" i="1"/>
  <c r="K33" i="1" s="1"/>
  <c r="G39" i="1"/>
  <c r="F39" i="1" s="1"/>
  <c r="Q39" i="1" s="1"/>
  <c r="Q73" i="1"/>
  <c r="Q72" i="1" s="1"/>
  <c r="K72" i="1"/>
  <c r="K70" i="1" s="1"/>
  <c r="Q95" i="1"/>
  <c r="F93" i="1"/>
  <c r="F56" i="1"/>
  <c r="G49" i="1"/>
  <c r="G48" i="1" s="1"/>
  <c r="F66" i="1"/>
  <c r="Q67" i="1"/>
  <c r="Q66" i="1" s="1"/>
  <c r="F70" i="1"/>
  <c r="Q84" i="1"/>
  <c r="Q83" i="1" s="1"/>
  <c r="F83" i="1"/>
  <c r="Q88" i="1"/>
  <c r="H121" i="1"/>
  <c r="M121" i="1"/>
  <c r="Q118" i="1"/>
  <c r="Q115" i="1" s="1"/>
  <c r="F115" i="1"/>
  <c r="F108" i="1" s="1"/>
  <c r="F107" i="1" s="1"/>
  <c r="G46" i="1"/>
  <c r="F47" i="1"/>
  <c r="Q47" i="1" s="1"/>
  <c r="F74" i="1"/>
  <c r="Q74" i="1" s="1"/>
  <c r="Q75" i="1"/>
  <c r="Q19" i="1"/>
  <c r="F20" i="1"/>
  <c r="I22" i="1"/>
  <c r="I21" i="1" s="1"/>
  <c r="I17" i="1" s="1"/>
  <c r="I13" i="1" s="1"/>
  <c r="I12" i="1" s="1"/>
  <c r="I121" i="1" s="1"/>
  <c r="N35" i="1"/>
  <c r="N34" i="1" s="1"/>
  <c r="N33" i="1" s="1"/>
  <c r="N17" i="1" s="1"/>
  <c r="N13" i="1" s="1"/>
  <c r="N12" i="1" s="1"/>
  <c r="N121" i="1" s="1"/>
  <c r="Q94" i="1"/>
  <c r="J121" i="1"/>
  <c r="F42" i="1"/>
  <c r="P73" i="1"/>
  <c r="P72" i="1" s="1"/>
  <c r="P70" i="1" s="1"/>
  <c r="P13" i="1" s="1"/>
  <c r="P12" i="1" s="1"/>
  <c r="P121" i="1" s="1"/>
  <c r="Q89" i="1"/>
  <c r="P94" i="1"/>
  <c r="P93" i="1" s="1"/>
  <c r="Q100" i="1"/>
  <c r="Q98" i="1" s="1"/>
  <c r="Q106" i="1"/>
  <c r="L93" i="1"/>
  <c r="L13" i="1" s="1"/>
  <c r="L12" i="1" s="1"/>
  <c r="L121" i="1" s="1"/>
  <c r="K103" i="1"/>
  <c r="K102" i="1" s="1"/>
  <c r="K101" i="1" s="1"/>
  <c r="Q108" i="1" l="1"/>
  <c r="Q107" i="1" s="1"/>
  <c r="Q20" i="1"/>
  <c r="F18" i="1"/>
  <c r="Q31" i="1"/>
  <c r="F30" i="1"/>
  <c r="Q30" i="1" s="1"/>
  <c r="O17" i="1"/>
  <c r="O13" i="1" s="1"/>
  <c r="O12" i="1" s="1"/>
  <c r="O121" i="1" s="1"/>
  <c r="G17" i="1"/>
  <c r="Q42" i="1"/>
  <c r="Q41" i="1" s="1"/>
  <c r="F41" i="1"/>
  <c r="F46" i="1"/>
  <c r="Q46" i="1" s="1"/>
  <c r="G41" i="1"/>
  <c r="F49" i="1"/>
  <c r="F48" i="1" s="1"/>
  <c r="Q56" i="1"/>
  <c r="Q49" i="1" s="1"/>
  <c r="Q48" i="1" s="1"/>
  <c r="Q102" i="1"/>
  <c r="Q101" i="1" s="1"/>
  <c r="Q70" i="1"/>
  <c r="K36" i="1"/>
  <c r="Q37" i="1"/>
  <c r="Q14" i="1"/>
  <c r="F17" i="1" l="1"/>
  <c r="F13" i="1" s="1"/>
  <c r="F12" i="1" s="1"/>
  <c r="F121" i="1" s="1"/>
  <c r="Q18" i="1"/>
  <c r="Q36" i="1"/>
  <c r="K17" i="1"/>
  <c r="G13" i="1"/>
  <c r="G12" i="1" s="1"/>
  <c r="G121" i="1" s="1"/>
  <c r="Q17" i="1" l="1"/>
  <c r="Q13" i="1" s="1"/>
  <c r="Q12" i="1" s="1"/>
  <c r="Q121" i="1" s="1"/>
  <c r="G131" i="1" s="1"/>
  <c r="K13" i="1"/>
  <c r="K12" i="1" s="1"/>
  <c r="K121" i="1" s="1"/>
  <c r="J126" i="1" s="1"/>
  <c r="K129" i="1"/>
  <c r="G123" i="1"/>
  <c r="M127" i="1"/>
  <c r="G126" i="1"/>
</calcChain>
</file>

<file path=xl/sharedStrings.xml><?xml version="1.0" encoding="utf-8"?>
<sst xmlns="http://schemas.openxmlformats.org/spreadsheetml/2006/main" count="335" uniqueCount="221">
  <si>
    <t>Додаток3</t>
  </si>
  <si>
    <t xml:space="preserve">до  рішення Білозірської сільської  ради  "Про бюджет Білозірської </t>
  </si>
  <si>
    <t xml:space="preserve"> територіальної громади на 2022 рік" (23501000000) від 22.12.2021 № 25-45/VIII</t>
  </si>
  <si>
    <t>(в редакції рішення сесії  від 29.11.2022 р.№ 43-3/VIII)</t>
  </si>
  <si>
    <t>Розподіл видатків бюджету Білозірської сільської  територіальної громади на 2022 рік</t>
  </si>
  <si>
    <t>23501000000</t>
  </si>
  <si>
    <t>(код бюджету)</t>
  </si>
  <si>
    <t>(грн.)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</si>
  <si>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</si>
  <si>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</si>
  <si>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</si>
  <si>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</si>
  <si>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</si>
  <si>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</si>
  <si>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</si>
  <si>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</si>
  <si>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</si>
  <si>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</si>
  <si>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
розвитку</t>
  </si>
  <si>
    <t>у тому числі бюджет розвитку</t>
  </si>
  <si>
    <t>оплата
праці</t>
  </si>
  <si>
    <t>комунальні послуги та енергоносії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</si>
  <si>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</si>
  <si>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</si>
  <si>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</si>
  <si>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</si>
  <si>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</si>
  <si>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</si>
  <si>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</si>
  <si>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</si>
  <si>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</si>
  <si>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0210180</t>
  </si>
  <si>
    <t>0180</t>
  </si>
  <si>
    <t>0133</t>
  </si>
  <si>
    <t>Інша діяльність у сфері державного управління</t>
  </si>
  <si>
    <t>ОСВІТА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</si>
  <si>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</si>
  <si>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</si>
  <si>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</si>
  <si>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</si>
  <si>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</si>
  <si>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в т.ч.  за рахунок дотації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</si>
  <si>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0211020</t>
  </si>
  <si>
    <t>Надання загальної середньої освіти за рахунок коштів місцевого бюджету</t>
  </si>
  <si>
    <t>0211021</t>
  </si>
  <si>
    <t>1021</t>
  </si>
  <si>
    <t>0921</t>
  </si>
  <si>
    <t>Надання загальної середньої освіти закладами загальної середньої освіти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</si>
  <si>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</si>
  <si>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</si>
  <si>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</si>
  <si>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</si>
  <si>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</si>
  <si>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0211030</t>
  </si>
  <si>
    <t>Надання загальної середньої освіти за рахунок освітньої субвенції</t>
  </si>
  <si>
    <t>0211031</t>
  </si>
  <si>
    <t>1031</t>
  </si>
  <si>
    <t>в т.ч. за рахунок коштів освітньої субвенції з державного бюджету місцевим бюджетам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</si>
  <si>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</si>
  <si>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</si>
  <si>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0211061</t>
  </si>
  <si>
    <t>в. т.ч. за рахунок залишку освітньої субвенції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</si>
  <si>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</si>
  <si>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</si>
  <si>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</si>
  <si>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</si>
  <si>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</si>
  <si>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</si>
  <si>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</si>
  <si>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ОХОРОНА ЗДОРОВЯ</t>
  </si>
  <si>
    <t>0212110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</si>
  <si>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</si>
  <si>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</si>
  <si>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</si>
  <si>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</si>
  <si>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0212150</t>
  </si>
  <si>
    <t>Інші програми, заклади та заходи у сфері охорони здоров’я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</si>
  <si>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</si>
  <si>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</si>
  <si>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</si>
  <si>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</si>
  <si>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</si>
  <si>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</si>
  <si>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</si>
  <si>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</si>
  <si>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</si>
  <si>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</si>
  <si>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</si>
  <si>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</si>
  <si>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</si>
  <si>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</si>
  <si>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</si>
  <si>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</si>
  <si>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</si>
  <si>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</si>
  <si>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</si>
  <si>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</si>
  <si>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0213090</t>
  </si>
  <si>
    <t>3090</t>
  </si>
  <si>
    <t>Видатки на поховання учасників бойових дій та осіб з інвалідністю внаслідок війни</t>
  </si>
  <si>
    <t>0213160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</si>
  <si>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</si>
  <si>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</si>
  <si>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</si>
  <si>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</si>
  <si>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0213210</t>
  </si>
  <si>
    <t>Організація та проведення громадських робіт</t>
  </si>
  <si>
    <t>0213240</t>
  </si>
  <si>
    <t>Інші заклади та заходи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</si>
  <si>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</si>
  <si>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</si>
  <si>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</si>
  <si>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</si>
  <si>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</si>
  <si>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КУЛЬТУРА І МИСТЕЦТВО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</si>
  <si>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</si>
  <si>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</si>
  <si>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</si>
  <si>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</si>
  <si>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</si>
  <si>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</si>
  <si>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</si>
  <si>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</si>
  <si>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</si>
  <si>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</si>
  <si>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</si>
  <si>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</si>
  <si>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0215060</t>
  </si>
  <si>
    <t>Інші заходи з розвитку фізичної культури та спорту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</si>
  <si>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</si>
  <si>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</si>
  <si>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</si>
  <si>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ЖИТЛОВО - КОМУНАЛЬНЕ ГОСПОДАРСТВО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</si>
  <si>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</si>
  <si>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</si>
  <si>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</si>
  <si>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</si>
  <si>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</si>
  <si>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</si>
  <si>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</si>
  <si>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</si>
  <si>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</si>
  <si>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0217130</t>
  </si>
  <si>
    <t>7130</t>
  </si>
  <si>
    <t>0421</t>
  </si>
  <si>
    <t>Здійснення заходів із землеустрою</t>
  </si>
  <si>
    <t>7300</t>
  </si>
  <si>
    <t>БУДІВНИЦТВО ТА РЕГІОНАЛЬНИЙ РОЗВИТОК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</si>
  <si>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</si>
  <si>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</si>
  <si>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</si>
  <si>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</si>
  <si>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7400</t>
  </si>
  <si>
    <t>ТРАНСПОРТ ТА ТРАНСПОРТНА ІНФРАСТРУКТУРА, ДОРОЖНЄ ГОСПОДАРСТВО</t>
  </si>
  <si>
    <t>0217460</t>
  </si>
  <si>
    <t>7460</t>
  </si>
  <si>
    <t>Утримання та розвиток автомобільних доріг та дорожньої інфраструктури</t>
  </si>
  <si>
    <t>0217461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</si>
  <si>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</si>
  <si>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</si>
  <si>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</si>
  <si>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7600</t>
  </si>
  <si>
    <t>ІНШІ ПРОГРАМИ ТА ЗАХОДИ, ПОВ'ЯЗАНІ З ЕКОНОМІЧНОЮ ДІЯЛЬНІСТЮ</t>
  </si>
  <si>
    <t>Внески до статутного капіталу суб’єктів господарювання</t>
  </si>
  <si>
    <t>0217670</t>
  </si>
  <si>
    <t>7670</t>
  </si>
  <si>
    <t>0490</t>
  </si>
  <si>
    <t>0217680</t>
  </si>
  <si>
    <t>7680</t>
  </si>
  <si>
    <t>Членські внески до асоціацій органів місцевого самоврядування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</si>
  <si>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</si>
  <si>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</si>
  <si>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</si>
  <si>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</si>
  <si>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</si>
  <si>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8200</t>
  </si>
  <si>
    <t>ГРОМАДСЬКИЙ ПОРЯДОК ТА БЕЗПЕКА</t>
  </si>
  <si>
    <t>0218240</t>
  </si>
  <si>
    <t>8420</t>
  </si>
  <si>
    <t>0380</t>
  </si>
  <si>
    <t>Заходи та роботи з територіальної оборони</t>
  </si>
  <si>
    <t>0218230</t>
  </si>
  <si>
    <t>8230</t>
  </si>
  <si>
    <t>Інші заходи громадського порядку та безпеки</t>
  </si>
  <si>
    <t>8300</t>
  </si>
  <si>
    <t>ОХОРОНА НАВКОЛИШНЬОГО ПРИРОДНОГО СЕРЕДОВИЩА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</si>
  <si>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</si>
  <si>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</si>
  <si>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</si>
  <si>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</si>
  <si>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</si>
  <si>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</si>
  <si>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</si>
  <si>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8700</t>
  </si>
  <si>
    <t>РЕЗЕРВНИЙ ФОНД</t>
  </si>
  <si>
    <t>0218710</t>
  </si>
  <si>
    <t>Резервний фонд місцевого бюджету</t>
  </si>
  <si>
    <t>3700000</t>
  </si>
  <si>
    <t>Фінансовий відділ виконавчого комітету Білозірської сільської ради</t>
  </si>
  <si>
    <t>3710000</t>
  </si>
  <si>
    <t>МІЖБЮДЖЕТНІ ТРАНСФЕРТИ</t>
  </si>
  <si>
    <t>3719160</t>
  </si>
  <si>
    <t>9160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</si>
  <si>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дотації з державного бюджету</t>
  </si>
  <si>
    <t>Субвенція з місцевого бюджету на співфінансування інвестиційних проектів</t>
  </si>
  <si>
    <t>9770</t>
  </si>
  <si>
    <t>Інші субвенції з місцевого бюджету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</si>
  <si>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</si>
  <si>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</si>
  <si>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3719820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</si>
  <si>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</si>
  <si>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Всього</t>
  </si>
  <si>
    <t xml:space="preserve"> Секретар сільської ради</t>
  </si>
  <si>
    <t>Тетяна ДІБРОВА</t>
  </si>
  <si>
    <t>резервний фонд</t>
  </si>
  <si>
    <t>деф/проф ЗФ</t>
  </si>
  <si>
    <t>деф/проф СФ</t>
  </si>
  <si>
    <t xml:space="preserve">резервний фонд </t>
  </si>
  <si>
    <t>доходи</t>
  </si>
  <si>
    <t xml:space="preserve">оборотний залишок </t>
  </si>
  <si>
    <t>дефіцит звед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</si>
</sst>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Arial"/>
      <charset val="1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ndalus"/>
      <family val="1"/>
      <charset val="1"/>
    </font>
    <font>
      <b/>
      <sz val="7"/>
      <color rgb="FF000000"/>
      <name val="Times New Roman"/>
      <family val="1"/>
      <charset val="204"/>
    </font>
    <font>
      <sz val="9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BCE4E5"/>
      </patternFill>
    </fill>
    <fill>
      <patternFill patternType="solid">
        <fgColor rgb="FFCCC1DA"/>
        <bgColor rgb="FFBCE4E5"/>
      </patternFill>
    </fill>
    <fill>
      <patternFill patternType="solid">
        <fgColor rgb="FFBCE4E5"/>
        <bgColor rgb="FFDCE6F2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/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wrapText="1"/>
    </xf>
    <xf numFmtId="0" fontId="14" fillId="0" borderId="4" xfId="0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wrapText="1"/>
    </xf>
    <xf numFmtId="0" fontId="15" fillId="0" borderId="2" xfId="0" applyFont="1" applyBorder="1" applyAlignment="1" applyProtection="1">
      <alignment horizontal="center" wrapText="1"/>
    </xf>
    <xf numFmtId="0" fontId="15" fillId="0" borderId="2" xfId="0" applyFont="1" applyBorder="1" applyAlignment="1" applyProtection="1">
      <alignment horizontal="left" vertical="top" wrapText="1"/>
    </xf>
    <xf numFmtId="4" fontId="15" fillId="0" borderId="2" xfId="0" applyNumberFormat="1" applyFont="1" applyBorder="1" applyAlignment="1" applyProtection="1">
      <alignment horizontal="right" vertical="top" wrapText="1"/>
    </xf>
    <xf numFmtId="4" fontId="0" fillId="0" borderId="0" xfId="0" applyNumberFormat="1" applyFont="1"/>
    <xf numFmtId="49" fontId="14" fillId="0" borderId="0" xfId="0" applyNumberFormat="1" applyFont="1" applyAlignment="1">
      <alignment horizontal="center"/>
    </xf>
    <xf numFmtId="0" fontId="14" fillId="0" borderId="6" xfId="0" applyFont="1" applyBorder="1" applyAlignment="1" applyProtection="1">
      <alignment horizontal="left" vertical="center" wrapText="1"/>
    </xf>
    <xf numFmtId="4" fontId="14" fillId="0" borderId="2" xfId="0" applyNumberFormat="1" applyFont="1" applyBorder="1" applyAlignment="1" applyProtection="1">
      <alignment horizontal="right" vertical="center" wrapText="1"/>
    </xf>
    <xf numFmtId="4" fontId="14" fillId="3" borderId="2" xfId="0" applyNumberFormat="1" applyFont="1" applyFill="1" applyBorder="1" applyAlignment="1" applyProtection="1">
      <alignment horizontal="right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0" fontId="14" fillId="0" borderId="3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vertical="center" wrapText="1"/>
    </xf>
    <xf numFmtId="0" fontId="15" fillId="0" borderId="5" xfId="0" applyFont="1" applyBorder="1" applyAlignment="1" applyProtection="1">
      <alignment horizontal="left" vertical="center" wrapText="1"/>
    </xf>
    <xf numFmtId="4" fontId="15" fillId="0" borderId="2" xfId="0" applyNumberFormat="1" applyFont="1" applyBorder="1" applyAlignment="1" applyProtection="1">
      <alignment horizontal="right" vertical="center" wrapText="1"/>
    </xf>
    <xf numFmtId="49" fontId="14" fillId="0" borderId="2" xfId="0" applyNumberFormat="1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left" vertical="top" wrapText="1"/>
    </xf>
    <xf numFmtId="4" fontId="14" fillId="0" borderId="2" xfId="0" applyNumberFormat="1" applyFont="1" applyBorder="1" applyAlignment="1" applyProtection="1">
      <alignment horizontal="right" vertical="top" wrapText="1"/>
    </xf>
    <xf numFmtId="4" fontId="14" fillId="0" borderId="3" xfId="0" applyNumberFormat="1" applyFont="1" applyBorder="1" applyAlignment="1" applyProtection="1">
      <alignment horizontal="right" vertical="top" wrapText="1"/>
    </xf>
    <xf numFmtId="4" fontId="14" fillId="0" borderId="4" xfId="0" applyNumberFormat="1" applyFont="1" applyBorder="1" applyAlignment="1" applyProtection="1">
      <alignment horizontal="right" vertical="top" wrapText="1"/>
    </xf>
    <xf numFmtId="0" fontId="16" fillId="0" borderId="2" xfId="0" applyFont="1" applyBorder="1" applyAlignment="1" applyProtection="1">
      <alignment horizontal="left" vertical="top" wrapText="1"/>
    </xf>
    <xf numFmtId="4" fontId="16" fillId="0" borderId="2" xfId="0" applyNumberFormat="1" applyFont="1" applyBorder="1" applyAlignment="1" applyProtection="1">
      <alignment horizontal="right" vertical="top" wrapText="1"/>
    </xf>
    <xf numFmtId="4" fontId="17" fillId="3" borderId="2" xfId="0" applyNumberFormat="1" applyFont="1" applyFill="1" applyBorder="1" applyAlignment="1" applyProtection="1">
      <alignment horizontal="right" vertical="top" wrapText="1"/>
    </xf>
    <xf numFmtId="4" fontId="16" fillId="3" borderId="2" xfId="0" applyNumberFormat="1" applyFont="1" applyFill="1" applyBorder="1" applyAlignment="1" applyProtection="1">
      <alignment horizontal="right" vertical="top" wrapText="1"/>
    </xf>
    <xf numFmtId="4" fontId="16" fillId="0" borderId="3" xfId="0" applyNumberFormat="1" applyFont="1" applyBorder="1" applyAlignment="1" applyProtection="1">
      <alignment horizontal="right" vertical="top" wrapText="1"/>
    </xf>
    <xf numFmtId="4" fontId="16" fillId="0" borderId="7" xfId="0" applyNumberFormat="1" applyFont="1" applyBorder="1" applyAlignment="1" applyProtection="1">
      <alignment horizontal="right" vertical="top" wrapText="1"/>
    </xf>
    <xf numFmtId="4" fontId="14" fillId="0" borderId="8" xfId="0" applyNumberFormat="1" applyFont="1" applyBorder="1" applyAlignment="1" applyProtection="1">
      <alignment horizontal="right" vertical="top" wrapText="1"/>
    </xf>
    <xf numFmtId="4" fontId="16" fillId="0" borderId="4" xfId="0" applyNumberFormat="1" applyFont="1" applyBorder="1" applyAlignment="1" applyProtection="1">
      <alignment horizontal="right" vertical="top" wrapText="1"/>
    </xf>
    <xf numFmtId="0" fontId="14" fillId="0" borderId="6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4" fontId="14" fillId="0" borderId="7" xfId="0" applyNumberFormat="1" applyFont="1" applyBorder="1" applyAlignment="1" applyProtection="1">
      <alignment horizontal="right" vertical="top" wrapText="1"/>
    </xf>
    <xf numFmtId="0" fontId="16" fillId="0" borderId="0" xfId="0" applyFont="1" applyBorder="1" applyAlignment="1" applyProtection="1">
      <alignment horizontal="left" vertical="top" wrapText="1"/>
    </xf>
    <xf numFmtId="49" fontId="16" fillId="0" borderId="2" xfId="0" applyNumberFormat="1" applyFont="1" applyBorder="1" applyAlignment="1" applyProtection="1">
      <alignment horizontal="center" wrapText="1"/>
    </xf>
    <xf numFmtId="0" fontId="16" fillId="0" borderId="2" xfId="0" applyFont="1" applyBorder="1" applyAlignment="1" applyProtection="1">
      <alignment horizontal="center" wrapText="1"/>
    </xf>
    <xf numFmtId="4" fontId="16" fillId="3" borderId="3" xfId="0" applyNumberFormat="1" applyFont="1" applyFill="1" applyBorder="1" applyAlignment="1" applyProtection="1">
      <alignment horizontal="right" vertical="top" wrapText="1"/>
    </xf>
    <xf numFmtId="4" fontId="16" fillId="3" borderId="6" xfId="0" applyNumberFormat="1" applyFont="1" applyFill="1" applyBorder="1" applyAlignment="1" applyProtection="1">
      <alignment horizontal="right" vertical="top" wrapText="1"/>
    </xf>
    <xf numFmtId="4" fontId="16" fillId="3" borderId="9" xfId="0" applyNumberFormat="1" applyFont="1" applyFill="1" applyBorder="1" applyAlignment="1" applyProtection="1">
      <alignment horizontal="right" vertical="top" wrapText="1"/>
    </xf>
    <xf numFmtId="4" fontId="14" fillId="0" borderId="6" xfId="0" applyNumberFormat="1" applyFont="1" applyBorder="1" applyAlignment="1" applyProtection="1">
      <alignment horizontal="right" vertical="top" wrapText="1"/>
    </xf>
    <xf numFmtId="4" fontId="14" fillId="0" borderId="9" xfId="0" applyNumberFormat="1" applyFont="1" applyBorder="1" applyAlignment="1" applyProtection="1">
      <alignment horizontal="right" vertical="top" wrapText="1"/>
    </xf>
    <xf numFmtId="4" fontId="14" fillId="0" borderId="5" xfId="0" applyNumberFormat="1" applyFont="1" applyBorder="1" applyAlignment="1" applyProtection="1">
      <alignment horizontal="right" vertical="top" wrapText="1"/>
    </xf>
    <xf numFmtId="0" fontId="16" fillId="0" borderId="3" xfId="0" applyFont="1" applyBorder="1" applyAlignment="1" applyProtection="1">
      <alignment horizontal="left" vertical="top" wrapText="1"/>
    </xf>
    <xf numFmtId="4" fontId="14" fillId="3" borderId="2" xfId="0" applyNumberFormat="1" applyFont="1" applyFill="1" applyBorder="1" applyAlignment="1" applyProtection="1">
      <alignment horizontal="right" vertical="top" wrapText="1"/>
    </xf>
    <xf numFmtId="0" fontId="18" fillId="0" borderId="2" xfId="0" applyFont="1" applyBorder="1" applyAlignment="1" applyProtection="1">
      <alignment horizontal="left" vertical="top" wrapText="1"/>
    </xf>
    <xf numFmtId="4" fontId="15" fillId="0" borderId="5" xfId="0" applyNumberFormat="1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left" vertical="top" wrapText="1"/>
    </xf>
    <xf numFmtId="49" fontId="18" fillId="0" borderId="2" xfId="0" applyNumberFormat="1" applyFont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center" wrapText="1"/>
    </xf>
    <xf numFmtId="4" fontId="18" fillId="0" borderId="2" xfId="0" applyNumberFormat="1" applyFont="1" applyBorder="1" applyAlignment="1" applyProtection="1">
      <alignment horizontal="right" vertical="top" wrapText="1"/>
    </xf>
    <xf numFmtId="4" fontId="14" fillId="0" borderId="5" xfId="0" applyNumberFormat="1" applyFont="1" applyBorder="1" applyAlignment="1" applyProtection="1">
      <alignment horizontal="right" vertical="center" wrapText="1"/>
    </xf>
    <xf numFmtId="4" fontId="14" fillId="0" borderId="10" xfId="0" applyNumberFormat="1" applyFont="1" applyBorder="1" applyAlignment="1" applyProtection="1">
      <alignment horizontal="right" vertical="center" wrapText="1"/>
    </xf>
    <xf numFmtId="4" fontId="16" fillId="0" borderId="2" xfId="0" applyNumberFormat="1" applyFont="1" applyBorder="1" applyAlignment="1" applyProtection="1">
      <alignment horizontal="right" vertical="center" wrapText="1"/>
    </xf>
    <xf numFmtId="4" fontId="16" fillId="3" borderId="2" xfId="0" applyNumberFormat="1" applyFont="1" applyFill="1" applyBorder="1" applyAlignment="1" applyProtection="1">
      <alignment horizontal="right" vertical="center" wrapText="1"/>
    </xf>
    <xf numFmtId="4" fontId="14" fillId="0" borderId="11" xfId="0" applyNumberFormat="1" applyFont="1" applyBorder="1" applyAlignment="1" applyProtection="1">
      <alignment horizontal="right" vertical="top" wrapText="1"/>
    </xf>
    <xf numFmtId="0" fontId="14" fillId="0" borderId="2" xfId="0" applyFont="1" applyBorder="1" applyAlignment="1" applyProtection="1">
      <alignment horizontal="center" vertical="top" wrapText="1"/>
    </xf>
    <xf numFmtId="4" fontId="14" fillId="3" borderId="6" xfId="0" applyNumberFormat="1" applyFont="1" applyFill="1" applyBorder="1" applyAlignment="1" applyProtection="1">
      <alignment horizontal="right" vertical="top" wrapText="1"/>
    </xf>
    <xf numFmtId="49" fontId="14" fillId="0" borderId="5" xfId="0" applyNumberFormat="1" applyFont="1" applyBorder="1" applyAlignment="1" applyProtection="1">
      <alignment horizontal="center" wrapText="1"/>
    </xf>
    <xf numFmtId="0" fontId="14" fillId="0" borderId="5" xfId="0" applyFont="1" applyBorder="1" applyAlignment="1" applyProtection="1">
      <alignment horizontal="left" vertical="top" wrapText="1"/>
    </xf>
    <xf numFmtId="49" fontId="15" fillId="2" borderId="2" xfId="0" applyNumberFormat="1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horizontal="center" wrapText="1"/>
    </xf>
    <xf numFmtId="0" fontId="15" fillId="2" borderId="2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</xf>
    <xf numFmtId="4" fontId="15" fillId="0" borderId="6" xfId="0" applyNumberFormat="1" applyFont="1" applyBorder="1" applyAlignment="1" applyProtection="1">
      <alignment horizontal="right" vertical="top" wrapText="1"/>
    </xf>
    <xf numFmtId="0" fontId="0" fillId="0" borderId="0" xfId="0" applyFont="1"/>
    <xf numFmtId="49" fontId="14" fillId="0" borderId="2" xfId="0" applyNumberFormat="1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 wrapText="1"/>
    </xf>
    <xf numFmtId="49" fontId="19" fillId="0" borderId="2" xfId="0" applyNumberFormat="1" applyFont="1" applyBorder="1" applyAlignment="1" applyProtection="1">
      <alignment horizontal="center" wrapText="1"/>
    </xf>
    <xf numFmtId="49" fontId="20" fillId="0" borderId="2" xfId="0" applyNumberFormat="1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left" vertical="top" wrapText="1"/>
    </xf>
    <xf numFmtId="4" fontId="19" fillId="0" borderId="2" xfId="0" applyNumberFormat="1" applyFont="1" applyBorder="1" applyAlignment="1" applyProtection="1">
      <alignment horizontal="right" vertical="top" wrapText="1"/>
    </xf>
    <xf numFmtId="4" fontId="19" fillId="3" borderId="10" xfId="0" applyNumberFormat="1" applyFont="1" applyFill="1" applyBorder="1" applyAlignment="1" applyProtection="1">
      <alignment horizontal="right" vertical="top" wrapText="1"/>
    </xf>
    <xf numFmtId="4" fontId="19" fillId="0" borderId="10" xfId="0" applyNumberFormat="1" applyFont="1" applyBorder="1" applyAlignment="1" applyProtection="1">
      <alignment horizontal="right" vertical="top" wrapText="1"/>
    </xf>
    <xf numFmtId="4" fontId="19" fillId="0" borderId="4" xfId="0" applyNumberFormat="1" applyFont="1" applyBorder="1" applyAlignment="1" applyProtection="1">
      <alignment horizontal="right" vertical="top" wrapText="1"/>
    </xf>
    <xf numFmtId="0" fontId="2" fillId="0" borderId="0" xfId="0" applyFont="1"/>
    <xf numFmtId="4" fontId="14" fillId="0" borderId="10" xfId="0" applyNumberFormat="1" applyFont="1" applyBorder="1" applyAlignment="1" applyProtection="1">
      <alignment horizontal="right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4" fontId="14" fillId="3" borderId="3" xfId="0" applyNumberFormat="1" applyFont="1" applyFill="1" applyBorder="1" applyAlignment="1" applyProtection="1">
      <alignment horizontal="right" vertical="top" wrapText="1"/>
    </xf>
    <xf numFmtId="49" fontId="15" fillId="0" borderId="2" xfId="0" applyNumberFormat="1" applyFont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top" wrapText="1"/>
    </xf>
    <xf numFmtId="0" fontId="14" fillId="2" borderId="2" xfId="0" applyFont="1" applyFill="1" applyBorder="1" applyAlignment="1" applyProtection="1">
      <alignment horizontal="center" wrapText="1"/>
    </xf>
    <xf numFmtId="49" fontId="14" fillId="2" borderId="2" xfId="0" applyNumberFormat="1" applyFont="1" applyFill="1" applyBorder="1" applyAlignment="1" applyProtection="1">
      <alignment horizontal="center" wrapText="1"/>
    </xf>
    <xf numFmtId="49" fontId="14" fillId="2" borderId="2" xfId="0" applyNumberFormat="1" applyFont="1" applyFill="1" applyBorder="1" applyAlignment="1" applyProtection="1">
      <alignment horizontal="left" vertical="top" wrapText="1"/>
    </xf>
    <xf numFmtId="4" fontId="14" fillId="2" borderId="2" xfId="0" applyNumberFormat="1" applyFont="1" applyFill="1" applyBorder="1" applyAlignment="1" applyProtection="1">
      <alignment horizontal="right" vertical="center" wrapText="1"/>
    </xf>
    <xf numFmtId="0" fontId="0" fillId="4" borderId="0" xfId="0" applyFont="1" applyFill="1"/>
    <xf numFmtId="0" fontId="14" fillId="2" borderId="2" xfId="0" applyFont="1" applyFill="1" applyBorder="1" applyAlignment="1" applyProtection="1">
      <alignment horizontal="left" vertical="center" wrapText="1"/>
    </xf>
    <xf numFmtId="4" fontId="19" fillId="3" borderId="2" xfId="0" applyNumberFormat="1" applyFont="1" applyFill="1" applyBorder="1" applyAlignment="1" applyProtection="1">
      <alignment horizontal="right" vertical="center" wrapText="1"/>
    </xf>
    <xf numFmtId="4" fontId="21" fillId="5" borderId="2" xfId="0" applyNumberFormat="1" applyFont="1" applyFill="1" applyBorder="1" applyAlignment="1" applyProtection="1">
      <alignment horizontal="right" vertical="center" wrapText="1"/>
    </xf>
    <xf numFmtId="49" fontId="14" fillId="0" borderId="0" xfId="0" applyNumberFormat="1" applyFont="1" applyBorder="1" applyAlignment="1" applyProtection="1">
      <alignment horizontal="left" vertical="top" wrapText="1"/>
    </xf>
    <xf numFmtId="0" fontId="15" fillId="0" borderId="2" xfId="0" applyFont="1" applyBorder="1" applyAlignment="1" applyProtection="1">
      <alignment horizontal="left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left"/>
    </xf>
    <xf numFmtId="2" fontId="0" fillId="0" borderId="0" xfId="0" applyNumberFormat="1" applyFont="1"/>
    <xf numFmtId="4" fontId="24" fillId="0" borderId="4" xfId="0" applyNumberFormat="1" applyFont="1" applyBorder="1" applyAlignment="1" applyProtection="1">
      <alignment horizontal="right" vertical="center" wrapText="1"/>
    </xf>
    <xf numFmtId="4" fontId="24" fillId="0" borderId="2" xfId="0" applyNumberFormat="1" applyFont="1" applyBorder="1" applyAlignment="1" applyProtection="1">
      <alignment horizontal="right" vertical="center" wrapText="1"/>
    </xf>
    <xf numFmtId="4" fontId="24" fillId="0" borderId="7" xfId="0" applyNumberFormat="1" applyFont="1" applyBorder="1" applyAlignment="1" applyProtection="1">
      <alignment horizontal="right" vertical="center" wrapText="1"/>
    </xf>
    <xf numFmtId="0" fontId="0" fillId="0" borderId="12" xfId="0" applyFont="1" applyBorder="1"/>
    <xf numFmtId="0" fontId="0" fillId="0" borderId="13" xfId="0" applyFont="1" applyBorder="1"/>
    <xf numFmtId="4" fontId="25" fillId="0" borderId="15" xfId="0" applyNumberFormat="1" applyFont="1" applyBorder="1"/>
    <xf numFmtId="0" fontId="0" fillId="0" borderId="16" xfId="0" applyFont="1" applyBorder="1"/>
    <xf numFmtId="0" fontId="6" fillId="0" borderId="0" xfId="0" applyFont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wrapText="1"/>
    </xf>
    <xf numFmtId="0" fontId="11" fillId="0" borderId="1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2" fontId="23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2"/>
  <sheetViews>
    <sheetView tabSelected="1" view="pageBreakPreview" topLeftCell="B118" zoomScaleNormal="100" zoomScaleSheetLayoutView="100" zoomScalePageLayoutView="75" workbookViewId="0">
      <selection activeCell="L119" sqref="A1:Q123"/>
    </sheetView>
  </sheetViews>
  <sheetFormatPr defaultRowHeight="15"/>
  <cols>
    <col min="1" max="1" width="8.85546875" style="1" hidden="1" customWidth="1"/>
    <col min="2" max="2" width="9.7109375" style="2" customWidth="1"/>
    <col min="3" max="3" width="10.28515625" style="2" customWidth="1"/>
    <col min="4" max="4" width="10.140625" style="2" customWidth="1"/>
    <col min="5" max="5" width="35.28515625" style="1" customWidth="1"/>
    <col min="6" max="6" width="11.42578125" style="1"/>
    <col min="7" max="7" width="13.140625" style="1" customWidth="1"/>
    <col min="8" max="8" width="11.28515625" style="1" customWidth="1"/>
    <col min="9" max="9" width="10.140625" style="1" customWidth="1"/>
    <col min="10" max="10" width="9.7109375" style="1" customWidth="1"/>
    <col min="11" max="11" width="10.5703125" style="1" customWidth="1"/>
    <col min="12" max="12" width="11.28515625" style="1" customWidth="1"/>
    <col min="13" max="15" width="9.7109375" style="1" customWidth="1"/>
    <col min="16" max="16" width="11.85546875" style="1" customWidth="1"/>
    <col min="17" max="17" width="18.5703125" style="1" customWidth="1"/>
    <col min="18" max="18" width="11.28515625" style="1" customWidth="1"/>
    <col min="19" max="1025" width="9.140625" style="1" customWidth="1"/>
  </cols>
  <sheetData>
    <row r="1" spans="1:18" s="3" customFormat="1">
      <c r="Q1" s="4" t="s">
        <v>0</v>
      </c>
    </row>
    <row r="2" spans="1:18" s="6" customFormat="1" ht="15" customHeight="1">
      <c r="A2" s="5"/>
      <c r="G2" s="7"/>
      <c r="H2" s="7"/>
      <c r="I2" s="7"/>
      <c r="J2" s="5"/>
      <c r="L2" s="131" t="s">
        <v>1</v>
      </c>
      <c r="M2" s="131"/>
      <c r="N2" s="131"/>
      <c r="O2" s="131"/>
      <c r="P2" s="131"/>
      <c r="Q2" s="131"/>
    </row>
    <row r="3" spans="1:18" s="6" customFormat="1" ht="12" customHeight="1">
      <c r="A3" s="5"/>
      <c r="G3" s="8"/>
      <c r="H3" s="8"/>
      <c r="I3" s="8"/>
      <c r="J3" s="5"/>
      <c r="K3" s="9"/>
      <c r="L3" s="131" t="s">
        <v>2</v>
      </c>
      <c r="M3" s="131"/>
      <c r="N3" s="131"/>
      <c r="O3" s="131"/>
      <c r="P3" s="131"/>
      <c r="Q3" s="131"/>
    </row>
    <row r="4" spans="1:18" s="11" customFormat="1" ht="20.25" customHeight="1">
      <c r="A4" s="10"/>
      <c r="K4" s="9"/>
      <c r="L4" s="132" t="s">
        <v>3</v>
      </c>
      <c r="M4" s="132"/>
      <c r="N4" s="132"/>
      <c r="O4" s="132"/>
      <c r="P4" s="132"/>
      <c r="Q4" s="132"/>
    </row>
    <row r="5" spans="1:18" ht="18.75" customHeight="1">
      <c r="A5" s="12"/>
      <c r="B5" s="133" t="s">
        <v>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8" ht="18.75" customHeight="1">
      <c r="A6" s="12"/>
      <c r="B6" s="134" t="s">
        <v>5</v>
      </c>
      <c r="C6" s="13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ht="15" customHeight="1">
      <c r="A7" s="12"/>
      <c r="B7" s="135" t="s">
        <v>6</v>
      </c>
      <c r="C7" s="135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 t="s">
        <v>7</v>
      </c>
    </row>
    <row r="8" spans="1:18" ht="15" customHeight="1">
      <c r="A8" s="18"/>
      <c r="B8" s="136" t="s">
        <v>8</v>
      </c>
      <c r="C8" s="136" t="s">
        <v>9</v>
      </c>
      <c r="D8" s="136" t="s">
        <v>10</v>
      </c>
      <c r="E8" s="137" t="s">
        <v>11</v>
      </c>
      <c r="F8" s="138" t="s">
        <v>12</v>
      </c>
      <c r="G8" s="138"/>
      <c r="H8" s="138"/>
      <c r="I8" s="138"/>
      <c r="J8" s="138"/>
      <c r="K8" s="139" t="s">
        <v>13</v>
      </c>
      <c r="L8" s="139"/>
      <c r="M8" s="139"/>
      <c r="N8" s="139"/>
      <c r="O8" s="139"/>
      <c r="P8" s="139"/>
      <c r="Q8" s="140" t="s">
        <v>14</v>
      </c>
    </row>
    <row r="9" spans="1:18" ht="27.75" customHeight="1">
      <c r="A9" s="18"/>
      <c r="B9" s="136"/>
      <c r="C9" s="136"/>
      <c r="D9" s="136"/>
      <c r="E9" s="137"/>
      <c r="F9" s="139" t="s">
        <v>15</v>
      </c>
      <c r="G9" s="141" t="s">
        <v>16</v>
      </c>
      <c r="H9" s="137" t="s">
        <v>17</v>
      </c>
      <c r="I9" s="137"/>
      <c r="J9" s="142" t="s">
        <v>18</v>
      </c>
      <c r="K9" s="139" t="str">
        <f>F9</f>
        <v>усього</v>
      </c>
      <c r="L9" s="141" t="s">
        <v>19</v>
      </c>
      <c r="M9" s="141" t="s">
        <v>16</v>
      </c>
      <c r="N9" s="137" t="s">
        <v>17</v>
      </c>
      <c r="O9" s="137"/>
      <c r="P9" s="141" t="s">
        <v>18</v>
      </c>
      <c r="Q9" s="140"/>
    </row>
    <row r="10" spans="1:18" ht="55.5" customHeight="1">
      <c r="A10" s="18"/>
      <c r="B10" s="136"/>
      <c r="C10" s="136"/>
      <c r="D10" s="136"/>
      <c r="E10" s="137"/>
      <c r="F10" s="139"/>
      <c r="G10" s="141"/>
      <c r="H10" s="20" t="s">
        <v>20</v>
      </c>
      <c r="I10" s="20" t="s">
        <v>21</v>
      </c>
      <c r="J10" s="142"/>
      <c r="K10" s="139"/>
      <c r="L10" s="141"/>
      <c r="M10" s="141"/>
      <c r="N10" s="20" t="s">
        <v>20</v>
      </c>
      <c r="O10" s="20" t="s">
        <v>21</v>
      </c>
      <c r="P10" s="141"/>
      <c r="Q10" s="140"/>
    </row>
    <row r="11" spans="1:18">
      <c r="A11" s="18"/>
      <c r="B11" s="19">
        <v>1</v>
      </c>
      <c r="C11" s="25">
        <v>2</v>
      </c>
      <c r="D11" s="25">
        <v>3</v>
      </c>
      <c r="E11" s="20">
        <v>4</v>
      </c>
      <c r="F11" s="20">
        <v>5</v>
      </c>
      <c r="G11" s="23">
        <v>6</v>
      </c>
      <c r="H11" s="20">
        <v>7</v>
      </c>
      <c r="I11" s="20">
        <v>8</v>
      </c>
      <c r="J11" s="24">
        <v>9</v>
      </c>
      <c r="K11" s="20">
        <v>10</v>
      </c>
      <c r="L11" s="23">
        <v>11</v>
      </c>
      <c r="M11" s="23">
        <v>12</v>
      </c>
      <c r="N11" s="20">
        <v>13</v>
      </c>
      <c r="O11" s="20">
        <v>14</v>
      </c>
      <c r="P11" s="23">
        <v>15</v>
      </c>
      <c r="Q11" s="26">
        <v>16</v>
      </c>
    </row>
    <row r="12" spans="1:18" ht="21">
      <c r="A12" s="18"/>
      <c r="B12" s="27" t="s">
        <v>22</v>
      </c>
      <c r="C12" s="28"/>
      <c r="D12" s="28"/>
      <c r="E12" s="29" t="s">
        <v>23</v>
      </c>
      <c r="F12" s="30">
        <f t="shared" ref="F12:Q12" si="0">F13</f>
        <v>78092352</v>
      </c>
      <c r="G12" s="30">
        <f t="shared" si="0"/>
        <v>77192352</v>
      </c>
      <c r="H12" s="30">
        <f t="shared" si="0"/>
        <v>49201067</v>
      </c>
      <c r="I12" s="30">
        <f t="shared" si="0"/>
        <v>7382433</v>
      </c>
      <c r="J12" s="30">
        <f t="shared" si="0"/>
        <v>0</v>
      </c>
      <c r="K12" s="30">
        <f t="shared" si="0"/>
        <v>3053459</v>
      </c>
      <c r="L12" s="30">
        <f t="shared" si="0"/>
        <v>1879459</v>
      </c>
      <c r="M12" s="30">
        <f t="shared" si="0"/>
        <v>1174000</v>
      </c>
      <c r="N12" s="30">
        <f t="shared" si="0"/>
        <v>10000</v>
      </c>
      <c r="O12" s="30">
        <f t="shared" si="0"/>
        <v>0</v>
      </c>
      <c r="P12" s="30">
        <f t="shared" si="0"/>
        <v>1879459</v>
      </c>
      <c r="Q12" s="30">
        <f t="shared" si="0"/>
        <v>81145811</v>
      </c>
      <c r="R12" s="31"/>
    </row>
    <row r="13" spans="1:18" ht="21">
      <c r="A13" s="18"/>
      <c r="B13" s="27" t="s">
        <v>24</v>
      </c>
      <c r="C13" s="28"/>
      <c r="D13" s="28"/>
      <c r="E13" s="29" t="s">
        <v>23</v>
      </c>
      <c r="F13" s="30">
        <f t="shared" ref="F13:Q13" si="1">F14+F17+F41+F48+F70+F76+F83+F90+F93+F98+F101+F86+F88+F105</f>
        <v>78092352</v>
      </c>
      <c r="G13" s="30">
        <f t="shared" si="1"/>
        <v>77192352</v>
      </c>
      <c r="H13" s="30">
        <f t="shared" si="1"/>
        <v>49201067</v>
      </c>
      <c r="I13" s="30">
        <f t="shared" si="1"/>
        <v>7382433</v>
      </c>
      <c r="J13" s="30">
        <f t="shared" si="1"/>
        <v>0</v>
      </c>
      <c r="K13" s="30">
        <f t="shared" si="1"/>
        <v>3053459</v>
      </c>
      <c r="L13" s="30">
        <f t="shared" si="1"/>
        <v>1879459</v>
      </c>
      <c r="M13" s="30">
        <f t="shared" si="1"/>
        <v>1174000</v>
      </c>
      <c r="N13" s="30">
        <f t="shared" si="1"/>
        <v>10000</v>
      </c>
      <c r="O13" s="30">
        <f t="shared" si="1"/>
        <v>0</v>
      </c>
      <c r="P13" s="30">
        <f t="shared" si="1"/>
        <v>1879459</v>
      </c>
      <c r="Q13" s="30">
        <f t="shared" si="1"/>
        <v>81145811</v>
      </c>
    </row>
    <row r="14" spans="1:18">
      <c r="A14" s="18"/>
      <c r="B14" s="27"/>
      <c r="C14" s="27" t="s">
        <v>25</v>
      </c>
      <c r="D14" s="28"/>
      <c r="E14" s="29" t="s">
        <v>26</v>
      </c>
      <c r="F14" s="30">
        <f t="shared" ref="F14:P14" si="2">F15+F16</f>
        <v>13888500</v>
      </c>
      <c r="G14" s="30">
        <f t="shared" si="2"/>
        <v>13888500</v>
      </c>
      <c r="H14" s="30">
        <f t="shared" si="2"/>
        <v>10465000</v>
      </c>
      <c r="I14" s="30">
        <f t="shared" si="2"/>
        <v>407500</v>
      </c>
      <c r="J14" s="30">
        <f t="shared" si="2"/>
        <v>0</v>
      </c>
      <c r="K14" s="30">
        <f t="shared" si="2"/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>K14+F14</f>
        <v>13888500</v>
      </c>
    </row>
    <row r="15" spans="1:18" ht="33.75">
      <c r="A15" s="18"/>
      <c r="B15" s="32" t="s">
        <v>27</v>
      </c>
      <c r="C15" s="19" t="s">
        <v>28</v>
      </c>
      <c r="D15" s="19" t="s">
        <v>29</v>
      </c>
      <c r="E15" s="33" t="s">
        <v>30</v>
      </c>
      <c r="F15" s="34">
        <f>G15</f>
        <v>13858500</v>
      </c>
      <c r="G15" s="35">
        <f>13358500+400000+100000</f>
        <v>13858500</v>
      </c>
      <c r="H15" s="35">
        <f>10300000+165000</f>
        <v>10465000</v>
      </c>
      <c r="I15" s="35">
        <f>262500+145000</f>
        <v>407500</v>
      </c>
      <c r="J15" s="34">
        <v>0</v>
      </c>
      <c r="K15" s="34">
        <f>L15</f>
        <v>0</v>
      </c>
      <c r="L15" s="35">
        <v>0</v>
      </c>
      <c r="M15" s="34">
        <v>0</v>
      </c>
      <c r="N15" s="34">
        <v>0</v>
      </c>
      <c r="O15" s="34">
        <v>0</v>
      </c>
      <c r="P15" s="34">
        <v>0</v>
      </c>
      <c r="Q15" s="36">
        <f>F15+K15</f>
        <v>13858500</v>
      </c>
    </row>
    <row r="16" spans="1:18" ht="24">
      <c r="A16" s="18"/>
      <c r="B16" s="19" t="s">
        <v>31</v>
      </c>
      <c r="C16" s="19" t="s">
        <v>32</v>
      </c>
      <c r="D16" s="37" t="s">
        <v>33</v>
      </c>
      <c r="E16" s="38" t="s">
        <v>34</v>
      </c>
      <c r="F16" s="34">
        <f>G16</f>
        <v>30000</v>
      </c>
      <c r="G16" s="35">
        <v>30000</v>
      </c>
      <c r="H16" s="35">
        <v>0</v>
      </c>
      <c r="I16" s="35">
        <v>0</v>
      </c>
      <c r="J16" s="34">
        <v>0</v>
      </c>
      <c r="K16" s="34">
        <v>0</v>
      </c>
      <c r="L16" s="35">
        <v>0</v>
      </c>
      <c r="M16" s="34">
        <v>0</v>
      </c>
      <c r="N16" s="34">
        <v>0</v>
      </c>
      <c r="O16" s="34">
        <v>0</v>
      </c>
      <c r="P16" s="34">
        <v>0</v>
      </c>
      <c r="Q16" s="36">
        <f>F16+K16</f>
        <v>30000</v>
      </c>
    </row>
    <row r="17" spans="1:17">
      <c r="A17" s="18"/>
      <c r="B17" s="28"/>
      <c r="C17" s="28">
        <v>1000</v>
      </c>
      <c r="D17" s="28"/>
      <c r="E17" s="39" t="s">
        <v>35</v>
      </c>
      <c r="F17" s="40">
        <f t="shared" ref="F17:P17" si="3">F18+F21+F30+F36+F39+F33</f>
        <v>49771620</v>
      </c>
      <c r="G17" s="40">
        <f t="shared" si="3"/>
        <v>49771620</v>
      </c>
      <c r="H17" s="40">
        <f t="shared" si="3"/>
        <v>34896067</v>
      </c>
      <c r="I17" s="40">
        <f t="shared" si="3"/>
        <v>5374633</v>
      </c>
      <c r="J17" s="40">
        <f t="shared" si="3"/>
        <v>0</v>
      </c>
      <c r="K17" s="40">
        <f t="shared" si="3"/>
        <v>2505000</v>
      </c>
      <c r="L17" s="40">
        <f t="shared" si="3"/>
        <v>1465000</v>
      </c>
      <c r="M17" s="40">
        <f t="shared" si="3"/>
        <v>1040000</v>
      </c>
      <c r="N17" s="40">
        <f t="shared" si="3"/>
        <v>0</v>
      </c>
      <c r="O17" s="40">
        <f t="shared" si="3"/>
        <v>0</v>
      </c>
      <c r="P17" s="40">
        <f t="shared" si="3"/>
        <v>1465000</v>
      </c>
      <c r="Q17" s="40">
        <f>K17+F17</f>
        <v>52276620</v>
      </c>
    </row>
    <row r="18" spans="1:17" ht="20.25" customHeight="1">
      <c r="A18" s="18"/>
      <c r="B18" s="41" t="s">
        <v>36</v>
      </c>
      <c r="C18" s="41" t="s">
        <v>37</v>
      </c>
      <c r="D18" s="41" t="s">
        <v>38</v>
      </c>
      <c r="E18" s="42" t="s">
        <v>39</v>
      </c>
      <c r="F18" s="43">
        <f>F19+F20</f>
        <v>11156025</v>
      </c>
      <c r="G18" s="43">
        <f>G19+G20</f>
        <v>11156025</v>
      </c>
      <c r="H18" s="43">
        <f>H19+H20</f>
        <v>7700000</v>
      </c>
      <c r="I18" s="43">
        <f>I19+I20</f>
        <v>1400000</v>
      </c>
      <c r="J18" s="44">
        <f t="shared" ref="J18:P18" si="4">J19</f>
        <v>0</v>
      </c>
      <c r="K18" s="43">
        <f t="shared" si="4"/>
        <v>520000</v>
      </c>
      <c r="L18" s="43">
        <f t="shared" si="4"/>
        <v>0</v>
      </c>
      <c r="M18" s="43">
        <f t="shared" si="4"/>
        <v>520000</v>
      </c>
      <c r="N18" s="43">
        <f t="shared" si="4"/>
        <v>0</v>
      </c>
      <c r="O18" s="43">
        <f t="shared" si="4"/>
        <v>0</v>
      </c>
      <c r="P18" s="43">
        <f t="shared" si="4"/>
        <v>0</v>
      </c>
      <c r="Q18" s="45">
        <f>F18+K18</f>
        <v>11676025</v>
      </c>
    </row>
    <row r="19" spans="1:17" ht="17.25" customHeight="1">
      <c r="A19" s="18"/>
      <c r="B19" s="41"/>
      <c r="C19" s="41"/>
      <c r="D19" s="41"/>
      <c r="E19" s="46" t="s">
        <v>40</v>
      </c>
      <c r="F19" s="47">
        <f>G19</f>
        <v>10656025</v>
      </c>
      <c r="G19" s="48">
        <f>10670600+180000+605000-100000+250000-124575-275000-300000-250000</f>
        <v>10656025</v>
      </c>
      <c r="H19" s="49">
        <v>7700000</v>
      </c>
      <c r="I19" s="49">
        <f>600000+400000-100000</f>
        <v>900000</v>
      </c>
      <c r="J19" s="50">
        <v>0</v>
      </c>
      <c r="K19" s="47">
        <f>M19+L19</f>
        <v>520000</v>
      </c>
      <c r="L19" s="35">
        <f>50000-50000</f>
        <v>0</v>
      </c>
      <c r="M19" s="49">
        <v>520000</v>
      </c>
      <c r="N19" s="47">
        <v>0</v>
      </c>
      <c r="O19" s="47">
        <v>0</v>
      </c>
      <c r="P19" s="47">
        <f>L19</f>
        <v>0</v>
      </c>
      <c r="Q19" s="51">
        <f>F19+K19</f>
        <v>11176025</v>
      </c>
    </row>
    <row r="20" spans="1:17" ht="101.25">
      <c r="A20" s="18"/>
      <c r="B20" s="41"/>
      <c r="C20" s="41"/>
      <c r="D20" s="41"/>
      <c r="E20" s="46" t="s">
        <v>41</v>
      </c>
      <c r="F20" s="47">
        <f>G20</f>
        <v>500000</v>
      </c>
      <c r="G20" s="47">
        <f>I20</f>
        <v>500000</v>
      </c>
      <c r="H20" s="47">
        <v>0</v>
      </c>
      <c r="I20" s="49">
        <v>500000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47">
        <f>F20+K20</f>
        <v>500000</v>
      </c>
    </row>
    <row r="21" spans="1:17" ht="22.5">
      <c r="A21" s="18"/>
      <c r="B21" s="41" t="s">
        <v>42</v>
      </c>
      <c r="C21" s="41"/>
      <c r="D21" s="41"/>
      <c r="E21" s="42" t="s">
        <v>43</v>
      </c>
      <c r="F21" s="43">
        <f t="shared" ref="F21:P21" si="5">F22</f>
        <v>14147200</v>
      </c>
      <c r="G21" s="43">
        <f t="shared" si="5"/>
        <v>14147200</v>
      </c>
      <c r="H21" s="43">
        <f t="shared" si="5"/>
        <v>7563995</v>
      </c>
      <c r="I21" s="43">
        <f t="shared" si="5"/>
        <v>3946700</v>
      </c>
      <c r="J21" s="43">
        <f t="shared" si="5"/>
        <v>0</v>
      </c>
      <c r="K21" s="43">
        <f t="shared" si="5"/>
        <v>520000</v>
      </c>
      <c r="L21" s="43">
        <f t="shared" si="5"/>
        <v>0</v>
      </c>
      <c r="M21" s="43">
        <f t="shared" si="5"/>
        <v>520000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52">
        <f>F21+K21</f>
        <v>14667200</v>
      </c>
    </row>
    <row r="22" spans="1:17" ht="22.5">
      <c r="A22" s="18"/>
      <c r="B22" s="41" t="s">
        <v>44</v>
      </c>
      <c r="C22" s="41" t="s">
        <v>45</v>
      </c>
      <c r="D22" s="41" t="s">
        <v>46</v>
      </c>
      <c r="E22" s="42" t="s">
        <v>47</v>
      </c>
      <c r="F22" s="43">
        <f t="shared" ref="F22:Q22" si="6">F23+F25+F24</f>
        <v>14147200</v>
      </c>
      <c r="G22" s="43">
        <f t="shared" si="6"/>
        <v>14147200</v>
      </c>
      <c r="H22" s="43">
        <f t="shared" si="6"/>
        <v>7563995</v>
      </c>
      <c r="I22" s="43">
        <f t="shared" si="6"/>
        <v>3946700</v>
      </c>
      <c r="J22" s="43">
        <f t="shared" si="6"/>
        <v>0</v>
      </c>
      <c r="K22" s="43">
        <f t="shared" si="6"/>
        <v>520000</v>
      </c>
      <c r="L22" s="43">
        <f t="shared" si="6"/>
        <v>0</v>
      </c>
      <c r="M22" s="43">
        <f t="shared" si="6"/>
        <v>520000</v>
      </c>
      <c r="N22" s="43">
        <f t="shared" si="6"/>
        <v>0</v>
      </c>
      <c r="O22" s="43">
        <f t="shared" si="6"/>
        <v>0</v>
      </c>
      <c r="P22" s="43">
        <f t="shared" si="6"/>
        <v>0</v>
      </c>
      <c r="Q22" s="43">
        <f t="shared" si="6"/>
        <v>14667200</v>
      </c>
    </row>
    <row r="23" spans="1:17">
      <c r="A23" s="18"/>
      <c r="B23" s="19"/>
      <c r="C23" s="19"/>
      <c r="D23" s="19"/>
      <c r="E23" s="46" t="s">
        <v>40</v>
      </c>
      <c r="F23" s="47">
        <f>G23</f>
        <v>12457200</v>
      </c>
      <c r="G23" s="49">
        <f>11722200+305000+200000+260000-40000-60000+250000-180000</f>
        <v>12457200</v>
      </c>
      <c r="H23" s="49">
        <v>7452500</v>
      </c>
      <c r="I23" s="49">
        <f>20000+1099500+314700+200000+200000+300000+250000</f>
        <v>2384200</v>
      </c>
      <c r="J23" s="50">
        <v>0</v>
      </c>
      <c r="K23" s="47">
        <f>L23+M23</f>
        <v>520000</v>
      </c>
      <c r="L23" s="47">
        <v>0</v>
      </c>
      <c r="M23" s="49">
        <v>520000</v>
      </c>
      <c r="N23" s="47">
        <v>0</v>
      </c>
      <c r="O23" s="47">
        <v>0</v>
      </c>
      <c r="P23" s="47">
        <f>L23</f>
        <v>0</v>
      </c>
      <c r="Q23" s="53">
        <f>F23+K23</f>
        <v>12977200</v>
      </c>
    </row>
    <row r="24" spans="1:17" ht="101.25">
      <c r="A24" s="18"/>
      <c r="B24" s="41"/>
      <c r="C24" s="41"/>
      <c r="D24" s="41"/>
      <c r="E24" s="46" t="s">
        <v>41</v>
      </c>
      <c r="F24" s="47">
        <f>G24</f>
        <v>1562500</v>
      </c>
      <c r="G24" s="47">
        <f>I24</f>
        <v>1562500</v>
      </c>
      <c r="H24" s="47">
        <v>0</v>
      </c>
      <c r="I24" s="49">
        <f>795300+767200</f>
        <v>1562500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47">
        <f>F24+K24</f>
        <v>1562500</v>
      </c>
    </row>
    <row r="25" spans="1:17" ht="67.5">
      <c r="A25" s="18"/>
      <c r="B25" s="19"/>
      <c r="C25" s="19"/>
      <c r="D25" s="19"/>
      <c r="E25" s="46" t="s">
        <v>48</v>
      </c>
      <c r="F25" s="47">
        <f>G25</f>
        <v>127500</v>
      </c>
      <c r="G25" s="49">
        <v>127500</v>
      </c>
      <c r="H25" s="49">
        <f>127500-16005</f>
        <v>111495</v>
      </c>
      <c r="I25" s="47">
        <v>0</v>
      </c>
      <c r="J25" s="50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53">
        <f>F25+K25</f>
        <v>127500</v>
      </c>
    </row>
    <row r="26" spans="1:17" ht="15" customHeight="1">
      <c r="A26" s="18"/>
      <c r="B26" s="136" t="s">
        <v>49</v>
      </c>
      <c r="C26" s="136" t="s">
        <v>50</v>
      </c>
      <c r="D26" s="136" t="s">
        <v>10</v>
      </c>
      <c r="E26" s="137" t="s">
        <v>51</v>
      </c>
      <c r="F26" s="139" t="s">
        <v>12</v>
      </c>
      <c r="G26" s="139"/>
      <c r="H26" s="139"/>
      <c r="I26" s="139"/>
      <c r="J26" s="139"/>
      <c r="K26" s="139" t="s">
        <v>13</v>
      </c>
      <c r="L26" s="139"/>
      <c r="M26" s="139"/>
      <c r="N26" s="139"/>
      <c r="O26" s="139"/>
      <c r="P26" s="139"/>
      <c r="Q26" s="139" t="s">
        <v>14</v>
      </c>
    </row>
    <row r="27" spans="1:17" ht="15" customHeight="1">
      <c r="A27" s="18"/>
      <c r="B27" s="136"/>
      <c r="C27" s="136"/>
      <c r="D27" s="136"/>
      <c r="E27" s="137"/>
      <c r="F27" s="139" t="s">
        <v>52</v>
      </c>
      <c r="G27" s="141" t="s">
        <v>16</v>
      </c>
      <c r="H27" s="137" t="s">
        <v>17</v>
      </c>
      <c r="I27" s="137"/>
      <c r="J27" s="141" t="s">
        <v>18</v>
      </c>
      <c r="K27" s="139" t="s">
        <v>52</v>
      </c>
      <c r="L27" s="141" t="s">
        <v>19</v>
      </c>
      <c r="M27" s="141" t="s">
        <v>16</v>
      </c>
      <c r="N27" s="137" t="s">
        <v>17</v>
      </c>
      <c r="O27" s="137"/>
      <c r="P27" s="141" t="s">
        <v>18</v>
      </c>
      <c r="Q27" s="139"/>
    </row>
    <row r="28" spans="1:17" ht="62.25" customHeight="1">
      <c r="A28" s="18"/>
      <c r="B28" s="136"/>
      <c r="C28" s="136"/>
      <c r="D28" s="136"/>
      <c r="E28" s="137"/>
      <c r="F28" s="139"/>
      <c r="G28" s="141"/>
      <c r="H28" s="20" t="s">
        <v>20</v>
      </c>
      <c r="I28" s="20" t="s">
        <v>21</v>
      </c>
      <c r="J28" s="141"/>
      <c r="K28" s="139"/>
      <c r="L28" s="141"/>
      <c r="M28" s="141"/>
      <c r="N28" s="20" t="s">
        <v>20</v>
      </c>
      <c r="O28" s="20" t="s">
        <v>21</v>
      </c>
      <c r="P28" s="141"/>
      <c r="Q28" s="139"/>
    </row>
    <row r="29" spans="1:17">
      <c r="A29" s="18"/>
      <c r="B29" s="19">
        <v>1</v>
      </c>
      <c r="C29" s="25">
        <v>2</v>
      </c>
      <c r="D29" s="25">
        <v>3</v>
      </c>
      <c r="E29" s="20">
        <v>4</v>
      </c>
      <c r="F29" s="21">
        <v>5</v>
      </c>
      <c r="G29" s="23">
        <v>6</v>
      </c>
      <c r="H29" s="20">
        <v>7</v>
      </c>
      <c r="I29" s="54">
        <v>8</v>
      </c>
      <c r="J29" s="55">
        <v>9</v>
      </c>
      <c r="K29" s="54">
        <v>10</v>
      </c>
      <c r="L29" s="56">
        <v>11</v>
      </c>
      <c r="M29" s="56">
        <v>12</v>
      </c>
      <c r="N29" s="54">
        <v>13</v>
      </c>
      <c r="O29" s="54">
        <v>14</v>
      </c>
      <c r="P29" s="56">
        <v>15</v>
      </c>
      <c r="Q29" s="22">
        <v>16</v>
      </c>
    </row>
    <row r="30" spans="1:17" ht="22.5">
      <c r="A30" s="18"/>
      <c r="B30" s="41" t="s">
        <v>53</v>
      </c>
      <c r="C30" s="41"/>
      <c r="D30" s="41"/>
      <c r="E30" s="42" t="s">
        <v>54</v>
      </c>
      <c r="F30" s="43">
        <f t="shared" ref="F30:P31" si="7">F31</f>
        <v>23132300</v>
      </c>
      <c r="G30" s="43">
        <f t="shared" si="7"/>
        <v>23132300</v>
      </c>
      <c r="H30" s="43">
        <f t="shared" si="7"/>
        <v>18993142</v>
      </c>
      <c r="I30" s="43">
        <f t="shared" si="7"/>
        <v>0</v>
      </c>
      <c r="J30" s="43">
        <f t="shared" si="7"/>
        <v>0</v>
      </c>
      <c r="K30" s="43">
        <f t="shared" si="7"/>
        <v>0</v>
      </c>
      <c r="L30" s="43">
        <f t="shared" si="7"/>
        <v>0</v>
      </c>
      <c r="M30" s="43">
        <f t="shared" si="7"/>
        <v>0</v>
      </c>
      <c r="N30" s="43">
        <f t="shared" si="7"/>
        <v>0</v>
      </c>
      <c r="O30" s="43">
        <f t="shared" si="7"/>
        <v>0</v>
      </c>
      <c r="P30" s="43">
        <f t="shared" si="7"/>
        <v>0</v>
      </c>
      <c r="Q30" s="45">
        <f>F30+K30</f>
        <v>23132300</v>
      </c>
    </row>
    <row r="31" spans="1:17" ht="22.5">
      <c r="A31" s="18"/>
      <c r="B31" s="41" t="s">
        <v>55</v>
      </c>
      <c r="C31" s="41" t="s">
        <v>56</v>
      </c>
      <c r="D31" s="41" t="s">
        <v>46</v>
      </c>
      <c r="E31" s="42" t="s">
        <v>47</v>
      </c>
      <c r="F31" s="43">
        <f t="shared" si="7"/>
        <v>23132300</v>
      </c>
      <c r="G31" s="43">
        <f t="shared" si="7"/>
        <v>23132300</v>
      </c>
      <c r="H31" s="43">
        <f t="shared" si="7"/>
        <v>18993142</v>
      </c>
      <c r="I31" s="43">
        <f t="shared" si="7"/>
        <v>0</v>
      </c>
      <c r="J31" s="43">
        <f t="shared" si="7"/>
        <v>0</v>
      </c>
      <c r="K31" s="43">
        <f t="shared" si="7"/>
        <v>0</v>
      </c>
      <c r="L31" s="43">
        <f t="shared" si="7"/>
        <v>0</v>
      </c>
      <c r="M31" s="43">
        <f t="shared" si="7"/>
        <v>0</v>
      </c>
      <c r="N31" s="43">
        <f t="shared" si="7"/>
        <v>0</v>
      </c>
      <c r="O31" s="43">
        <f t="shared" si="7"/>
        <v>0</v>
      </c>
      <c r="P31" s="43">
        <f t="shared" si="7"/>
        <v>0</v>
      </c>
      <c r="Q31" s="53">
        <f>F31+K31</f>
        <v>23132300</v>
      </c>
    </row>
    <row r="32" spans="1:17" ht="22.5">
      <c r="A32" s="18"/>
      <c r="B32" s="19"/>
      <c r="C32" s="19"/>
      <c r="D32" s="19"/>
      <c r="E32" s="46" t="s">
        <v>57</v>
      </c>
      <c r="F32" s="47">
        <f>G32</f>
        <v>23132300</v>
      </c>
      <c r="G32" s="49">
        <f>25702600-2570300</f>
        <v>23132300</v>
      </c>
      <c r="H32" s="49">
        <f>21100000-2106858</f>
        <v>18993142</v>
      </c>
      <c r="I32" s="47">
        <v>0</v>
      </c>
      <c r="J32" s="50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53">
        <f>F32+K32</f>
        <v>23132300</v>
      </c>
    </row>
    <row r="33" spans="1:17" ht="90">
      <c r="A33" s="18"/>
      <c r="B33" s="57" t="s">
        <v>58</v>
      </c>
      <c r="C33" s="20">
        <v>1060</v>
      </c>
      <c r="D33" s="57"/>
      <c r="E33" s="58" t="s">
        <v>59</v>
      </c>
      <c r="F33" s="43">
        <f t="shared" ref="F33:Q34" si="8">F34</f>
        <v>450000</v>
      </c>
      <c r="G33" s="43">
        <f t="shared" si="8"/>
        <v>450000</v>
      </c>
      <c r="H33" s="43">
        <f t="shared" si="8"/>
        <v>0</v>
      </c>
      <c r="I33" s="43">
        <f t="shared" si="8"/>
        <v>0</v>
      </c>
      <c r="J33" s="43">
        <f t="shared" si="8"/>
        <v>0</v>
      </c>
      <c r="K33" s="43">
        <f t="shared" si="8"/>
        <v>1465000</v>
      </c>
      <c r="L33" s="43">
        <f t="shared" si="8"/>
        <v>1465000</v>
      </c>
      <c r="M33" s="43">
        <f t="shared" si="8"/>
        <v>0</v>
      </c>
      <c r="N33" s="43">
        <f t="shared" si="8"/>
        <v>0</v>
      </c>
      <c r="O33" s="43">
        <f t="shared" si="8"/>
        <v>0</v>
      </c>
      <c r="P33" s="43">
        <f t="shared" si="8"/>
        <v>1465000</v>
      </c>
      <c r="Q33" s="43">
        <f t="shared" si="8"/>
        <v>1915000</v>
      </c>
    </row>
    <row r="34" spans="1:17" ht="22.5">
      <c r="A34" s="18"/>
      <c r="B34" s="57" t="s">
        <v>60</v>
      </c>
      <c r="C34" s="20">
        <v>1061</v>
      </c>
      <c r="D34" s="57" t="s">
        <v>46</v>
      </c>
      <c r="E34" s="58" t="s">
        <v>47</v>
      </c>
      <c r="F34" s="43">
        <f t="shared" si="8"/>
        <v>450000</v>
      </c>
      <c r="G34" s="43">
        <f t="shared" si="8"/>
        <v>450000</v>
      </c>
      <c r="H34" s="43">
        <f t="shared" si="8"/>
        <v>0</v>
      </c>
      <c r="I34" s="43">
        <f t="shared" si="8"/>
        <v>0</v>
      </c>
      <c r="J34" s="43">
        <f t="shared" si="8"/>
        <v>0</v>
      </c>
      <c r="K34" s="43">
        <f t="shared" si="8"/>
        <v>1465000</v>
      </c>
      <c r="L34" s="43">
        <f t="shared" si="8"/>
        <v>1465000</v>
      </c>
      <c r="M34" s="43">
        <f t="shared" si="8"/>
        <v>0</v>
      </c>
      <c r="N34" s="43">
        <f t="shared" si="8"/>
        <v>0</v>
      </c>
      <c r="O34" s="43">
        <f t="shared" si="8"/>
        <v>0</v>
      </c>
      <c r="P34" s="43">
        <f t="shared" si="8"/>
        <v>1465000</v>
      </c>
      <c r="Q34" s="47">
        <f t="shared" si="8"/>
        <v>1915000</v>
      </c>
    </row>
    <row r="35" spans="1:17">
      <c r="A35" s="18"/>
      <c r="B35" s="57"/>
      <c r="C35" s="20"/>
      <c r="D35" s="57"/>
      <c r="E35" s="59" t="s">
        <v>61</v>
      </c>
      <c r="F35" s="47">
        <f>G34</f>
        <v>450000</v>
      </c>
      <c r="G35" s="49">
        <f>650000-200000</f>
        <v>450000</v>
      </c>
      <c r="H35" s="47">
        <v>0</v>
      </c>
      <c r="I35" s="47">
        <v>0</v>
      </c>
      <c r="J35" s="47">
        <v>0</v>
      </c>
      <c r="K35" s="47">
        <f>L35</f>
        <v>1465000</v>
      </c>
      <c r="L35" s="49">
        <f>50000+200000+1015000+200000</f>
        <v>1465000</v>
      </c>
      <c r="M35" s="47">
        <f>M37</f>
        <v>0</v>
      </c>
      <c r="N35" s="47">
        <f>N37</f>
        <v>0</v>
      </c>
      <c r="O35" s="47">
        <f>O37</f>
        <v>0</v>
      </c>
      <c r="P35" s="47">
        <f>L35</f>
        <v>1465000</v>
      </c>
      <c r="Q35" s="43">
        <f>K35+F35</f>
        <v>1915000</v>
      </c>
    </row>
    <row r="36" spans="1:17" ht="22.5">
      <c r="A36" s="18"/>
      <c r="B36" s="41" t="s">
        <v>62</v>
      </c>
      <c r="C36" s="19">
        <v>1160</v>
      </c>
      <c r="D36" s="41" t="s">
        <v>63</v>
      </c>
      <c r="E36" s="42" t="s">
        <v>64</v>
      </c>
      <c r="F36" s="47">
        <f>G36</f>
        <v>760909</v>
      </c>
      <c r="G36" s="47">
        <f>G37+G38</f>
        <v>760909</v>
      </c>
      <c r="H36" s="47">
        <f>H37+H38</f>
        <v>562437</v>
      </c>
      <c r="I36" s="47">
        <f>I37+I38</f>
        <v>27933</v>
      </c>
      <c r="J36" s="47">
        <f t="shared" ref="J36:P40" si="9">J37</f>
        <v>0</v>
      </c>
      <c r="K36" s="47">
        <f t="shared" si="9"/>
        <v>0</v>
      </c>
      <c r="L36" s="47">
        <f t="shared" si="9"/>
        <v>0</v>
      </c>
      <c r="M36" s="47">
        <f t="shared" si="9"/>
        <v>0</v>
      </c>
      <c r="N36" s="47">
        <f t="shared" si="9"/>
        <v>0</v>
      </c>
      <c r="O36" s="47">
        <f t="shared" si="9"/>
        <v>0</v>
      </c>
      <c r="P36" s="47">
        <f t="shared" si="9"/>
        <v>0</v>
      </c>
      <c r="Q36" s="60">
        <f>K36+F36</f>
        <v>760909</v>
      </c>
    </row>
    <row r="37" spans="1:17">
      <c r="A37" s="61"/>
      <c r="B37" s="62"/>
      <c r="C37" s="63"/>
      <c r="D37" s="62"/>
      <c r="E37" s="46" t="str">
        <f>E19</f>
        <v>в т.ч.  за рахунок коштів місцевого бюджету</v>
      </c>
      <c r="F37" s="47">
        <f>G37</f>
        <v>250714</v>
      </c>
      <c r="G37" s="49">
        <v>250714</v>
      </c>
      <c r="H37" s="64">
        <v>167143</v>
      </c>
      <c r="I37" s="49">
        <v>13929</v>
      </c>
      <c r="J37" s="47">
        <f t="shared" si="9"/>
        <v>0</v>
      </c>
      <c r="K37" s="47">
        <f t="shared" si="9"/>
        <v>0</v>
      </c>
      <c r="L37" s="47">
        <f t="shared" si="9"/>
        <v>0</v>
      </c>
      <c r="M37" s="47">
        <f t="shared" si="9"/>
        <v>0</v>
      </c>
      <c r="N37" s="47">
        <f t="shared" si="9"/>
        <v>0</v>
      </c>
      <c r="O37" s="47">
        <f t="shared" si="9"/>
        <v>0</v>
      </c>
      <c r="P37" s="47">
        <f t="shared" si="9"/>
        <v>0</v>
      </c>
      <c r="Q37" s="51">
        <f>K37+F37</f>
        <v>250714</v>
      </c>
    </row>
    <row r="38" spans="1:17" ht="26.25" customHeight="1">
      <c r="A38" s="61"/>
      <c r="B38" s="62"/>
      <c r="C38" s="63"/>
      <c r="D38" s="62"/>
      <c r="E38" s="46" t="s">
        <v>65</v>
      </c>
      <c r="F38" s="47">
        <f>G38</f>
        <v>510195</v>
      </c>
      <c r="G38" s="65">
        <f>317195+193000</f>
        <v>510195</v>
      </c>
      <c r="H38" s="66">
        <f>237004+158290</f>
        <v>395294</v>
      </c>
      <c r="I38" s="49">
        <f>1500+10504+2000</f>
        <v>14004</v>
      </c>
      <c r="J38" s="47">
        <f t="shared" si="9"/>
        <v>0</v>
      </c>
      <c r="K38" s="47">
        <f t="shared" si="9"/>
        <v>0</v>
      </c>
      <c r="L38" s="47">
        <f t="shared" si="9"/>
        <v>0</v>
      </c>
      <c r="M38" s="47">
        <f t="shared" si="9"/>
        <v>0</v>
      </c>
      <c r="N38" s="47">
        <f t="shared" si="9"/>
        <v>0</v>
      </c>
      <c r="O38" s="47">
        <f t="shared" si="9"/>
        <v>0</v>
      </c>
      <c r="P38" s="47">
        <f t="shared" si="9"/>
        <v>0</v>
      </c>
      <c r="Q38" s="51">
        <f>K38+F38</f>
        <v>510195</v>
      </c>
    </row>
    <row r="39" spans="1:17" ht="45">
      <c r="A39" s="18"/>
      <c r="B39" s="41" t="s">
        <v>66</v>
      </c>
      <c r="C39" s="19">
        <v>1200</v>
      </c>
      <c r="D39" s="41" t="s">
        <v>63</v>
      </c>
      <c r="E39" s="42" t="s">
        <v>67</v>
      </c>
      <c r="F39" s="67">
        <f>G39</f>
        <v>125186</v>
      </c>
      <c r="G39" s="67">
        <f>G40</f>
        <v>125186</v>
      </c>
      <c r="H39" s="68">
        <f>H40</f>
        <v>76493</v>
      </c>
      <c r="I39" s="69">
        <f>I40</f>
        <v>0</v>
      </c>
      <c r="J39" s="69">
        <f t="shared" si="9"/>
        <v>0</v>
      </c>
      <c r="K39" s="69">
        <f t="shared" si="9"/>
        <v>0</v>
      </c>
      <c r="L39" s="69">
        <f t="shared" si="9"/>
        <v>0</v>
      </c>
      <c r="M39" s="69">
        <f t="shared" si="9"/>
        <v>0</v>
      </c>
      <c r="N39" s="69">
        <f t="shared" si="9"/>
        <v>0</v>
      </c>
      <c r="O39" s="69">
        <f t="shared" si="9"/>
        <v>0</v>
      </c>
      <c r="P39" s="69">
        <f t="shared" si="9"/>
        <v>0</v>
      </c>
      <c r="Q39" s="45">
        <f>F39+K39</f>
        <v>125186</v>
      </c>
    </row>
    <row r="40" spans="1:17" ht="56.25">
      <c r="A40" s="18"/>
      <c r="B40" s="19"/>
      <c r="C40" s="19"/>
      <c r="D40" s="19"/>
      <c r="E40" s="70" t="s">
        <v>68</v>
      </c>
      <c r="F40" s="47">
        <f>G40</f>
        <v>125186</v>
      </c>
      <c r="G40" s="71">
        <f>139052-3548-10318</f>
        <v>125186</v>
      </c>
      <c r="H40" s="71">
        <f>84950-8457</f>
        <v>76493</v>
      </c>
      <c r="I40" s="52">
        <f>I41</f>
        <v>0</v>
      </c>
      <c r="J40" s="69">
        <f t="shared" si="9"/>
        <v>0</v>
      </c>
      <c r="K40" s="69">
        <f t="shared" si="9"/>
        <v>0</v>
      </c>
      <c r="L40" s="69">
        <f t="shared" si="9"/>
        <v>0</v>
      </c>
      <c r="M40" s="69">
        <f t="shared" si="9"/>
        <v>0</v>
      </c>
      <c r="N40" s="69">
        <f t="shared" si="9"/>
        <v>0</v>
      </c>
      <c r="O40" s="69">
        <f t="shared" si="9"/>
        <v>0</v>
      </c>
      <c r="P40" s="69">
        <f t="shared" si="9"/>
        <v>0</v>
      </c>
      <c r="Q40" s="45">
        <f>F40+K40</f>
        <v>125186</v>
      </c>
    </row>
    <row r="41" spans="1:17">
      <c r="A41" s="18"/>
      <c r="B41" s="28"/>
      <c r="C41" s="28">
        <v>2000</v>
      </c>
      <c r="D41" s="28"/>
      <c r="E41" s="72" t="s">
        <v>69</v>
      </c>
      <c r="F41" s="73">
        <f t="shared" ref="F41:Q41" si="10">F42+F46</f>
        <v>1592245</v>
      </c>
      <c r="G41" s="73">
        <f t="shared" si="10"/>
        <v>1592245</v>
      </c>
      <c r="H41" s="73">
        <f t="shared" si="10"/>
        <v>0</v>
      </c>
      <c r="I41" s="73">
        <f t="shared" si="10"/>
        <v>0</v>
      </c>
      <c r="J41" s="73">
        <f t="shared" si="10"/>
        <v>0</v>
      </c>
      <c r="K41" s="73">
        <f t="shared" si="10"/>
        <v>0</v>
      </c>
      <c r="L41" s="73">
        <f t="shared" si="10"/>
        <v>0</v>
      </c>
      <c r="M41" s="73">
        <f t="shared" si="10"/>
        <v>0</v>
      </c>
      <c r="N41" s="73">
        <f t="shared" si="10"/>
        <v>0</v>
      </c>
      <c r="O41" s="73">
        <f t="shared" si="10"/>
        <v>0</v>
      </c>
      <c r="P41" s="73">
        <f t="shared" si="10"/>
        <v>0</v>
      </c>
      <c r="Q41" s="73">
        <f t="shared" si="10"/>
        <v>1592245</v>
      </c>
    </row>
    <row r="42" spans="1:17">
      <c r="A42" s="18"/>
      <c r="B42" s="41" t="s">
        <v>70</v>
      </c>
      <c r="C42" s="19">
        <v>2110</v>
      </c>
      <c r="D42" s="19"/>
      <c r="E42" s="42" t="s">
        <v>71</v>
      </c>
      <c r="F42" s="43">
        <f t="shared" ref="F42:L42" si="11">F43</f>
        <v>1358000</v>
      </c>
      <c r="G42" s="43">
        <f t="shared" si="11"/>
        <v>1358000</v>
      </c>
      <c r="H42" s="43">
        <f t="shared" si="11"/>
        <v>0</v>
      </c>
      <c r="I42" s="43">
        <f t="shared" si="11"/>
        <v>0</v>
      </c>
      <c r="J42" s="44">
        <f t="shared" si="11"/>
        <v>0</v>
      </c>
      <c r="K42" s="43">
        <f t="shared" si="11"/>
        <v>0</v>
      </c>
      <c r="L42" s="43">
        <f t="shared" si="11"/>
        <v>0</v>
      </c>
      <c r="M42" s="47">
        <v>0</v>
      </c>
      <c r="N42" s="43">
        <f t="shared" ref="N42:P43" si="12">N43</f>
        <v>0</v>
      </c>
      <c r="O42" s="43">
        <f t="shared" si="12"/>
        <v>0</v>
      </c>
      <c r="P42" s="43">
        <f t="shared" si="12"/>
        <v>0</v>
      </c>
      <c r="Q42" s="45">
        <f t="shared" ref="Q42:Q47" si="13">F42+K42</f>
        <v>1358000</v>
      </c>
    </row>
    <row r="43" spans="1:17" ht="33.75">
      <c r="A43" s="18"/>
      <c r="B43" s="41" t="s">
        <v>72</v>
      </c>
      <c r="C43" s="19">
        <v>2111</v>
      </c>
      <c r="D43" s="19" t="s">
        <v>73</v>
      </c>
      <c r="E43" s="42" t="s">
        <v>74</v>
      </c>
      <c r="F43" s="43">
        <f>G43</f>
        <v>1358000</v>
      </c>
      <c r="G43" s="43">
        <f>G44+G45</f>
        <v>1358000</v>
      </c>
      <c r="H43" s="43">
        <f t="shared" ref="H43:M43" si="14">H44</f>
        <v>0</v>
      </c>
      <c r="I43" s="43">
        <f t="shared" si="14"/>
        <v>0</v>
      </c>
      <c r="J43" s="43">
        <f t="shared" si="14"/>
        <v>0</v>
      </c>
      <c r="K43" s="43">
        <f t="shared" si="14"/>
        <v>0</v>
      </c>
      <c r="L43" s="43">
        <f t="shared" si="14"/>
        <v>0</v>
      </c>
      <c r="M43" s="43">
        <f t="shared" si="14"/>
        <v>0</v>
      </c>
      <c r="N43" s="43">
        <f t="shared" si="12"/>
        <v>0</v>
      </c>
      <c r="O43" s="43">
        <f t="shared" si="12"/>
        <v>0</v>
      </c>
      <c r="P43" s="43">
        <f t="shared" si="12"/>
        <v>0</v>
      </c>
      <c r="Q43" s="45">
        <f t="shared" si="13"/>
        <v>1358000</v>
      </c>
    </row>
    <row r="44" spans="1:17">
      <c r="A44" s="18"/>
      <c r="B44" s="19"/>
      <c r="C44" s="19"/>
      <c r="D44" s="19"/>
      <c r="E44" s="46" t="s">
        <v>40</v>
      </c>
      <c r="F44" s="47">
        <f>G44</f>
        <v>1308000</v>
      </c>
      <c r="G44" s="49">
        <f>865000+75000+40000+268000+50000+10000</f>
        <v>1308000</v>
      </c>
      <c r="H44" s="47">
        <v>0</v>
      </c>
      <c r="I44" s="47">
        <v>0</v>
      </c>
      <c r="J44" s="50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53">
        <f t="shared" si="13"/>
        <v>1308000</v>
      </c>
    </row>
    <row r="45" spans="1:17" ht="67.5">
      <c r="A45" s="18"/>
      <c r="B45" s="19"/>
      <c r="C45" s="19"/>
      <c r="D45" s="19"/>
      <c r="E45" s="46" t="str">
        <f>E25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45" s="47">
        <f>G45</f>
        <v>50000</v>
      </c>
      <c r="G45" s="49">
        <v>50000</v>
      </c>
      <c r="H45" s="47">
        <v>0</v>
      </c>
      <c r="I45" s="47">
        <v>0</v>
      </c>
      <c r="J45" s="50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53">
        <f t="shared" si="13"/>
        <v>50000</v>
      </c>
    </row>
    <row r="46" spans="1:17" ht="22.5">
      <c r="A46" s="18"/>
      <c r="B46" s="41" t="s">
        <v>75</v>
      </c>
      <c r="C46" s="19"/>
      <c r="D46" s="19"/>
      <c r="E46" s="42" t="s">
        <v>76</v>
      </c>
      <c r="F46" s="47">
        <f>G46</f>
        <v>234245</v>
      </c>
      <c r="G46" s="47">
        <f>G47</f>
        <v>234245</v>
      </c>
      <c r="H46" s="47">
        <v>0</v>
      </c>
      <c r="I46" s="47">
        <v>0</v>
      </c>
      <c r="J46" s="50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53">
        <f t="shared" si="13"/>
        <v>234245</v>
      </c>
    </row>
    <row r="47" spans="1:17" ht="22.5">
      <c r="A47" s="18"/>
      <c r="B47" s="41" t="s">
        <v>77</v>
      </c>
      <c r="C47" s="19">
        <v>2152</v>
      </c>
      <c r="D47" s="41" t="s">
        <v>78</v>
      </c>
      <c r="E47" s="42" t="s">
        <v>79</v>
      </c>
      <c r="F47" s="47">
        <f>G47</f>
        <v>234245</v>
      </c>
      <c r="G47" s="49">
        <f>200000+10000+24245</f>
        <v>234245</v>
      </c>
      <c r="H47" s="47">
        <v>0</v>
      </c>
      <c r="I47" s="47">
        <v>0</v>
      </c>
      <c r="J47" s="50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53">
        <f t="shared" si="13"/>
        <v>234245</v>
      </c>
    </row>
    <row r="48" spans="1:17" ht="24">
      <c r="A48" s="74"/>
      <c r="B48" s="75"/>
      <c r="C48" s="76">
        <v>3000</v>
      </c>
      <c r="D48" s="76"/>
      <c r="E48" s="72" t="s">
        <v>80</v>
      </c>
      <c r="F48" s="77">
        <f t="shared" ref="F48:Q48" si="15">F49+F62+F66+F63+F57+F59+F65</f>
        <v>3185350</v>
      </c>
      <c r="G48" s="77">
        <f t="shared" si="15"/>
        <v>3185350</v>
      </c>
      <c r="H48" s="77">
        <f t="shared" si="15"/>
        <v>1760000</v>
      </c>
      <c r="I48" s="77">
        <f t="shared" si="15"/>
        <v>60000</v>
      </c>
      <c r="J48" s="77">
        <f t="shared" si="15"/>
        <v>0</v>
      </c>
      <c r="K48" s="77">
        <f t="shared" si="15"/>
        <v>3000</v>
      </c>
      <c r="L48" s="77">
        <f t="shared" si="15"/>
        <v>0</v>
      </c>
      <c r="M48" s="77">
        <f t="shared" si="15"/>
        <v>3000</v>
      </c>
      <c r="N48" s="77">
        <f t="shared" si="15"/>
        <v>0</v>
      </c>
      <c r="O48" s="77">
        <f t="shared" si="15"/>
        <v>0</v>
      </c>
      <c r="P48" s="77">
        <f t="shared" si="15"/>
        <v>0</v>
      </c>
      <c r="Q48" s="77">
        <f t="shared" si="15"/>
        <v>3188350</v>
      </c>
    </row>
    <row r="49" spans="1:17" ht="45">
      <c r="A49" s="18"/>
      <c r="B49" s="41" t="s">
        <v>81</v>
      </c>
      <c r="C49" s="41" t="s">
        <v>82</v>
      </c>
      <c r="D49" s="41"/>
      <c r="E49" s="42" t="s">
        <v>83</v>
      </c>
      <c r="F49" s="47">
        <f t="shared" ref="F49:Q49" si="16">F50+F56+F51</f>
        <v>237830</v>
      </c>
      <c r="G49" s="47">
        <f t="shared" si="16"/>
        <v>237830</v>
      </c>
      <c r="H49" s="47">
        <f t="shared" si="16"/>
        <v>0</v>
      </c>
      <c r="I49" s="47">
        <f t="shared" si="16"/>
        <v>0</v>
      </c>
      <c r="J49" s="47">
        <f t="shared" si="16"/>
        <v>0</v>
      </c>
      <c r="K49" s="47">
        <f t="shared" si="16"/>
        <v>0</v>
      </c>
      <c r="L49" s="47">
        <f t="shared" si="16"/>
        <v>0</v>
      </c>
      <c r="M49" s="47">
        <f t="shared" si="16"/>
        <v>0</v>
      </c>
      <c r="N49" s="47">
        <f t="shared" si="16"/>
        <v>0</v>
      </c>
      <c r="O49" s="47">
        <f t="shared" si="16"/>
        <v>0</v>
      </c>
      <c r="P49" s="47">
        <f t="shared" si="16"/>
        <v>0</v>
      </c>
      <c r="Q49" s="47">
        <f t="shared" si="16"/>
        <v>237830</v>
      </c>
    </row>
    <row r="50" spans="1:17" ht="22.5">
      <c r="A50" s="18"/>
      <c r="B50" s="41" t="s">
        <v>84</v>
      </c>
      <c r="C50" s="41" t="s">
        <v>85</v>
      </c>
      <c r="D50" s="41" t="s">
        <v>86</v>
      </c>
      <c r="E50" s="42" t="s">
        <v>87</v>
      </c>
      <c r="F50" s="47">
        <f>G50</f>
        <v>20000</v>
      </c>
      <c r="G50" s="49">
        <v>20000</v>
      </c>
      <c r="H50" s="47">
        <v>0</v>
      </c>
      <c r="I50" s="47">
        <v>0</v>
      </c>
      <c r="J50" s="50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5">
        <f>F50+K50</f>
        <v>20000</v>
      </c>
    </row>
    <row r="51" spans="1:17" ht="33.75">
      <c r="A51" s="18"/>
      <c r="B51" s="41" t="s">
        <v>88</v>
      </c>
      <c r="C51" s="41" t="s">
        <v>89</v>
      </c>
      <c r="D51" s="41" t="s">
        <v>86</v>
      </c>
      <c r="E51" s="42" t="s">
        <v>90</v>
      </c>
      <c r="F51" s="47">
        <f>G51</f>
        <v>180000</v>
      </c>
      <c r="G51" s="49">
        <f>160000+20000+93745-93745</f>
        <v>180000</v>
      </c>
      <c r="H51" s="47">
        <v>0</v>
      </c>
      <c r="I51" s="47">
        <v>0</v>
      </c>
      <c r="J51" s="50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5">
        <f>F51+K51</f>
        <v>180000</v>
      </c>
    </row>
    <row r="52" spans="1:17" ht="18.75" customHeight="1">
      <c r="A52" s="18"/>
      <c r="B52" s="136" t="s">
        <v>49</v>
      </c>
      <c r="C52" s="136" t="s">
        <v>50</v>
      </c>
      <c r="D52" s="136" t="s">
        <v>10</v>
      </c>
      <c r="E52" s="137" t="s">
        <v>51</v>
      </c>
      <c r="F52" s="139" t="s">
        <v>12</v>
      </c>
      <c r="G52" s="139"/>
      <c r="H52" s="139"/>
      <c r="I52" s="139"/>
      <c r="J52" s="139"/>
      <c r="K52" s="143" t="s">
        <v>13</v>
      </c>
      <c r="L52" s="143"/>
      <c r="M52" s="143"/>
      <c r="N52" s="143"/>
      <c r="O52" s="143"/>
      <c r="P52" s="143"/>
      <c r="Q52" s="143" t="s">
        <v>14</v>
      </c>
    </row>
    <row r="53" spans="1:17" ht="15" customHeight="1">
      <c r="A53" s="18"/>
      <c r="B53" s="136"/>
      <c r="C53" s="136"/>
      <c r="D53" s="136"/>
      <c r="E53" s="137"/>
      <c r="F53" s="139" t="s">
        <v>52</v>
      </c>
      <c r="G53" s="141" t="s">
        <v>16</v>
      </c>
      <c r="H53" s="137" t="s">
        <v>17</v>
      </c>
      <c r="I53" s="137"/>
      <c r="J53" s="141" t="s">
        <v>18</v>
      </c>
      <c r="K53" s="139" t="s">
        <v>52</v>
      </c>
      <c r="L53" s="141" t="s">
        <v>19</v>
      </c>
      <c r="M53" s="141" t="s">
        <v>16</v>
      </c>
      <c r="N53" s="137" t="s">
        <v>17</v>
      </c>
      <c r="O53" s="137"/>
      <c r="P53" s="141" t="s">
        <v>18</v>
      </c>
      <c r="Q53" s="143"/>
    </row>
    <row r="54" spans="1:17" ht="69" customHeight="1">
      <c r="A54" s="18"/>
      <c r="B54" s="136"/>
      <c r="C54" s="136"/>
      <c r="D54" s="136"/>
      <c r="E54" s="137"/>
      <c r="F54" s="139"/>
      <c r="G54" s="141"/>
      <c r="H54" s="20" t="s">
        <v>20</v>
      </c>
      <c r="I54" s="20" t="s">
        <v>21</v>
      </c>
      <c r="J54" s="141"/>
      <c r="K54" s="139"/>
      <c r="L54" s="141"/>
      <c r="M54" s="141"/>
      <c r="N54" s="20" t="s">
        <v>20</v>
      </c>
      <c r="O54" s="20" t="s">
        <v>21</v>
      </c>
      <c r="P54" s="141"/>
      <c r="Q54" s="143"/>
    </row>
    <row r="55" spans="1:17">
      <c r="A55" s="18"/>
      <c r="B55" s="19">
        <v>1</v>
      </c>
      <c r="C55" s="25">
        <v>2</v>
      </c>
      <c r="D55" s="25">
        <v>3</v>
      </c>
      <c r="E55" s="20">
        <v>4</v>
      </c>
      <c r="F55" s="21">
        <v>5</v>
      </c>
      <c r="G55" s="23">
        <v>6</v>
      </c>
      <c r="H55" s="20">
        <v>7</v>
      </c>
      <c r="I55" s="20">
        <v>8</v>
      </c>
      <c r="J55" s="24">
        <v>9</v>
      </c>
      <c r="K55" s="21">
        <v>10</v>
      </c>
      <c r="L55" s="23">
        <v>11</v>
      </c>
      <c r="M55" s="23">
        <v>12</v>
      </c>
      <c r="N55" s="20">
        <v>13</v>
      </c>
      <c r="O55" s="20">
        <v>14</v>
      </c>
      <c r="P55" s="23">
        <v>15</v>
      </c>
      <c r="Q55" s="22">
        <v>16</v>
      </c>
    </row>
    <row r="56" spans="1:17" ht="33.75">
      <c r="A56" s="18"/>
      <c r="B56" s="41" t="s">
        <v>91</v>
      </c>
      <c r="C56" s="41" t="s">
        <v>92</v>
      </c>
      <c r="D56" s="41" t="s">
        <v>86</v>
      </c>
      <c r="E56" s="58" t="s">
        <v>93</v>
      </c>
      <c r="F56" s="47">
        <f t="shared" ref="F56:F62" si="17">G56</f>
        <v>37830</v>
      </c>
      <c r="G56" s="49">
        <f>37000+30830-30000</f>
        <v>37830</v>
      </c>
      <c r="H56" s="47">
        <v>0</v>
      </c>
      <c r="I56" s="47">
        <v>0</v>
      </c>
      <c r="J56" s="50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5">
        <f t="shared" ref="Q56:Q65" si="18">F56+K56</f>
        <v>37830</v>
      </c>
    </row>
    <row r="57" spans="1:17" ht="33.75">
      <c r="A57" s="18"/>
      <c r="B57" s="41" t="s">
        <v>94</v>
      </c>
      <c r="C57" s="41" t="s">
        <v>95</v>
      </c>
      <c r="D57" s="41" t="s">
        <v>86</v>
      </c>
      <c r="E57" s="58" t="s">
        <v>96</v>
      </c>
      <c r="F57" s="47">
        <f t="shared" si="17"/>
        <v>88088</v>
      </c>
      <c r="G57" s="47">
        <f>G58</f>
        <v>88088</v>
      </c>
      <c r="H57" s="47">
        <v>0</v>
      </c>
      <c r="I57" s="47">
        <v>0</v>
      </c>
      <c r="J57" s="50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5">
        <f t="shared" si="18"/>
        <v>88088</v>
      </c>
    </row>
    <row r="58" spans="1:17" ht="22.5">
      <c r="A58" s="18"/>
      <c r="B58" s="41"/>
      <c r="C58" s="41"/>
      <c r="D58" s="41"/>
      <c r="E58" s="59" t="str">
        <f>E38</f>
        <v>в. т.ч.  за рахунок субвенції з інших місцевих бюджетів</v>
      </c>
      <c r="F58" s="47">
        <f t="shared" si="17"/>
        <v>88088</v>
      </c>
      <c r="G58" s="49">
        <f>86763+1325</f>
        <v>88088</v>
      </c>
      <c r="H58" s="47">
        <v>0</v>
      </c>
      <c r="I58" s="47">
        <v>0</v>
      </c>
      <c r="J58" s="50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5">
        <f t="shared" si="18"/>
        <v>88088</v>
      </c>
    </row>
    <row r="59" spans="1:17" ht="22.5">
      <c r="A59" s="18"/>
      <c r="B59" s="41" t="s">
        <v>97</v>
      </c>
      <c r="C59" s="41" t="s">
        <v>98</v>
      </c>
      <c r="D59" s="41" t="s">
        <v>86</v>
      </c>
      <c r="E59" s="58" t="s">
        <v>99</v>
      </c>
      <c r="F59" s="47">
        <f t="shared" si="17"/>
        <v>68652</v>
      </c>
      <c r="G59" s="47">
        <f>G61+G60</f>
        <v>68652</v>
      </c>
      <c r="H59" s="47">
        <v>0</v>
      </c>
      <c r="I59" s="47">
        <v>0</v>
      </c>
      <c r="J59" s="50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5">
        <f t="shared" si="18"/>
        <v>68652</v>
      </c>
    </row>
    <row r="60" spans="1:17">
      <c r="A60" s="18"/>
      <c r="B60" s="41"/>
      <c r="C60" s="41"/>
      <c r="D60" s="41"/>
      <c r="E60" s="59" t="str">
        <f>E37</f>
        <v>в т.ч.  за рахунок коштів місцевого бюджету</v>
      </c>
      <c r="F60" s="47">
        <f t="shared" si="17"/>
        <v>60000</v>
      </c>
      <c r="G60" s="49">
        <f>30000+30000</f>
        <v>60000</v>
      </c>
      <c r="H60" s="47">
        <v>0</v>
      </c>
      <c r="I60" s="47">
        <v>0</v>
      </c>
      <c r="J60" s="50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5">
        <f t="shared" si="18"/>
        <v>60000</v>
      </c>
    </row>
    <row r="61" spans="1:17" ht="22.5">
      <c r="A61" s="18"/>
      <c r="B61" s="41"/>
      <c r="C61" s="41"/>
      <c r="D61" s="41"/>
      <c r="E61" s="59" t="str">
        <f>E58</f>
        <v>в. т.ч.  за рахунок субвенції з інших місцевих бюджетів</v>
      </c>
      <c r="F61" s="47">
        <f t="shared" si="17"/>
        <v>8652</v>
      </c>
      <c r="G61" s="49">
        <f>6489+2163</f>
        <v>8652</v>
      </c>
      <c r="H61" s="47">
        <v>0</v>
      </c>
      <c r="I61" s="47">
        <v>0</v>
      </c>
      <c r="J61" s="50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5">
        <f t="shared" si="18"/>
        <v>8652</v>
      </c>
    </row>
    <row r="62" spans="1:17" ht="75" customHeight="1">
      <c r="A62" s="18"/>
      <c r="B62" s="19" t="s">
        <v>100</v>
      </c>
      <c r="C62" s="19" t="s">
        <v>101</v>
      </c>
      <c r="D62" s="19" t="s">
        <v>37</v>
      </c>
      <c r="E62" s="58" t="s">
        <v>102</v>
      </c>
      <c r="F62" s="34">
        <f t="shared" si="17"/>
        <v>200000</v>
      </c>
      <c r="G62" s="35">
        <v>200000</v>
      </c>
      <c r="H62" s="78">
        <v>0</v>
      </c>
      <c r="I62" s="79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43">
        <f t="shared" si="18"/>
        <v>200000</v>
      </c>
    </row>
    <row r="63" spans="1:17" ht="45">
      <c r="A63" s="18"/>
      <c r="B63" s="41" t="s">
        <v>103</v>
      </c>
      <c r="C63" s="19">
        <v>3171</v>
      </c>
      <c r="D63" s="19">
        <v>1010</v>
      </c>
      <c r="E63" s="58" t="s">
        <v>104</v>
      </c>
      <c r="F63" s="34">
        <f>F64</f>
        <v>4780</v>
      </c>
      <c r="G63" s="35">
        <f>G64</f>
        <v>4780</v>
      </c>
      <c r="H63" s="78">
        <v>0</v>
      </c>
      <c r="I63" s="79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43">
        <f t="shared" si="18"/>
        <v>4780</v>
      </c>
    </row>
    <row r="64" spans="1:17" ht="21.75" customHeight="1">
      <c r="A64" s="61"/>
      <c r="B64" s="63"/>
      <c r="C64" s="63"/>
      <c r="D64" s="63"/>
      <c r="E64" s="59" t="str">
        <f>E58</f>
        <v>в. т.ч.  за рахунок субвенції з інших місцевих бюджетів</v>
      </c>
      <c r="F64" s="80">
        <f>G64</f>
        <v>4780</v>
      </c>
      <c r="G64" s="81">
        <f>4380+400</f>
        <v>4780</v>
      </c>
      <c r="H64" s="78">
        <v>0</v>
      </c>
      <c r="I64" s="79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82">
        <f t="shared" si="18"/>
        <v>4780</v>
      </c>
    </row>
    <row r="65" spans="1:17" hidden="1">
      <c r="A65" s="18"/>
      <c r="B65" s="20" t="s">
        <v>105</v>
      </c>
      <c r="C65" s="20">
        <v>3210</v>
      </c>
      <c r="D65" s="83">
        <v>1050</v>
      </c>
      <c r="E65" s="42" t="s">
        <v>106</v>
      </c>
      <c r="F65" s="43">
        <f>G65</f>
        <v>0</v>
      </c>
      <c r="G65" s="71">
        <f>24400-1000-10000-13400</f>
        <v>0</v>
      </c>
      <c r="H65" s="71">
        <f>20000-1000-8200-10800</f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f t="shared" si="18"/>
        <v>0</v>
      </c>
    </row>
    <row r="66" spans="1:17">
      <c r="A66" s="18"/>
      <c r="B66" s="41" t="s">
        <v>107</v>
      </c>
      <c r="C66" s="19">
        <v>3240</v>
      </c>
      <c r="D66" s="19"/>
      <c r="E66" s="42" t="s">
        <v>108</v>
      </c>
      <c r="F66" s="43">
        <f t="shared" ref="F66:Q66" si="19">F67+F68</f>
        <v>2586000</v>
      </c>
      <c r="G66" s="43">
        <f t="shared" si="19"/>
        <v>2586000</v>
      </c>
      <c r="H66" s="43">
        <f t="shared" si="19"/>
        <v>1760000</v>
      </c>
      <c r="I66" s="43">
        <f t="shared" si="19"/>
        <v>60000</v>
      </c>
      <c r="J66" s="43">
        <f t="shared" si="19"/>
        <v>0</v>
      </c>
      <c r="K66" s="43">
        <f t="shared" si="19"/>
        <v>3000</v>
      </c>
      <c r="L66" s="43">
        <f t="shared" si="19"/>
        <v>0</v>
      </c>
      <c r="M66" s="43">
        <f t="shared" si="19"/>
        <v>3000</v>
      </c>
      <c r="N66" s="43">
        <f t="shared" si="19"/>
        <v>0</v>
      </c>
      <c r="O66" s="43">
        <f t="shared" si="19"/>
        <v>0</v>
      </c>
      <c r="P66" s="43">
        <f t="shared" si="19"/>
        <v>0</v>
      </c>
      <c r="Q66" s="43">
        <f t="shared" si="19"/>
        <v>2589000</v>
      </c>
    </row>
    <row r="67" spans="1:17" ht="22.5">
      <c r="A67" s="18"/>
      <c r="B67" s="41" t="s">
        <v>109</v>
      </c>
      <c r="C67" s="19">
        <v>3241</v>
      </c>
      <c r="D67" s="19">
        <v>1090</v>
      </c>
      <c r="E67" s="42" t="s">
        <v>110</v>
      </c>
      <c r="F67" s="43">
        <f>G67</f>
        <v>2316000</v>
      </c>
      <c r="G67" s="84">
        <f>2246000+70000</f>
        <v>2316000</v>
      </c>
      <c r="H67" s="71">
        <v>1760000</v>
      </c>
      <c r="I67" s="71">
        <v>60000</v>
      </c>
      <c r="J67" s="44">
        <v>0</v>
      </c>
      <c r="K67" s="43">
        <f>M67</f>
        <v>3000</v>
      </c>
      <c r="L67" s="43">
        <v>0</v>
      </c>
      <c r="M67" s="71">
        <v>3000</v>
      </c>
      <c r="N67" s="43">
        <v>0</v>
      </c>
      <c r="O67" s="43">
        <v>0</v>
      </c>
      <c r="P67" s="43">
        <v>0</v>
      </c>
      <c r="Q67" s="45">
        <f>F67+K67</f>
        <v>2319000</v>
      </c>
    </row>
    <row r="68" spans="1:17" ht="22.5">
      <c r="A68" s="18"/>
      <c r="B68" s="41" t="s">
        <v>111</v>
      </c>
      <c r="C68" s="19">
        <v>3242</v>
      </c>
      <c r="D68" s="19" t="s">
        <v>112</v>
      </c>
      <c r="E68" s="42" t="s">
        <v>113</v>
      </c>
      <c r="F68" s="43">
        <f>G68</f>
        <v>270000</v>
      </c>
      <c r="G68" s="71">
        <f>50000+200000+20000</f>
        <v>270000</v>
      </c>
      <c r="H68" s="43">
        <v>0</v>
      </c>
      <c r="I68" s="43">
        <v>0</v>
      </c>
      <c r="J68" s="44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5">
        <f>F68+K68</f>
        <v>270000</v>
      </c>
    </row>
    <row r="69" spans="1:17" ht="22.5">
      <c r="A69" s="18"/>
      <c r="B69" s="41"/>
      <c r="C69" s="41"/>
      <c r="D69" s="41"/>
      <c r="E69" s="59" t="str">
        <f>E64</f>
        <v>в. т.ч.  за рахунок субвенції з інших місцевих бюджетів</v>
      </c>
      <c r="F69" s="47">
        <f>G69</f>
        <v>200000</v>
      </c>
      <c r="G69" s="49">
        <v>200000</v>
      </c>
      <c r="H69" s="47">
        <v>0</v>
      </c>
      <c r="I69" s="47">
        <v>0</v>
      </c>
      <c r="J69" s="50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5">
        <f>F69+K69</f>
        <v>200000</v>
      </c>
    </row>
    <row r="70" spans="1:17">
      <c r="A70" s="18"/>
      <c r="B70" s="27"/>
      <c r="C70" s="28">
        <v>4000</v>
      </c>
      <c r="D70" s="28"/>
      <c r="E70" s="29" t="s">
        <v>114</v>
      </c>
      <c r="F70" s="30">
        <f t="shared" ref="F70:Q70" si="20">F71+F72+F74</f>
        <v>3595000</v>
      </c>
      <c r="G70" s="30">
        <f t="shared" si="20"/>
        <v>3595000</v>
      </c>
      <c r="H70" s="30">
        <f t="shared" si="20"/>
        <v>2080000</v>
      </c>
      <c r="I70" s="30">
        <f t="shared" si="20"/>
        <v>777000</v>
      </c>
      <c r="J70" s="30">
        <f t="shared" si="20"/>
        <v>0</v>
      </c>
      <c r="K70" s="30">
        <f t="shared" si="20"/>
        <v>159900</v>
      </c>
      <c r="L70" s="30">
        <f t="shared" si="20"/>
        <v>99900</v>
      </c>
      <c r="M70" s="30">
        <f t="shared" si="20"/>
        <v>60000</v>
      </c>
      <c r="N70" s="30">
        <f t="shared" si="20"/>
        <v>10000</v>
      </c>
      <c r="O70" s="30">
        <f t="shared" si="20"/>
        <v>0</v>
      </c>
      <c r="P70" s="30">
        <f t="shared" si="20"/>
        <v>99900</v>
      </c>
      <c r="Q70" s="30">
        <f t="shared" si="20"/>
        <v>3754900</v>
      </c>
    </row>
    <row r="71" spans="1:17">
      <c r="A71" s="18"/>
      <c r="B71" s="41" t="s">
        <v>115</v>
      </c>
      <c r="C71" s="19">
        <v>4030</v>
      </c>
      <c r="D71" s="41" t="s">
        <v>116</v>
      </c>
      <c r="E71" s="42" t="s">
        <v>117</v>
      </c>
      <c r="F71" s="43">
        <f>G71</f>
        <v>383000</v>
      </c>
      <c r="G71" s="71">
        <v>383000</v>
      </c>
      <c r="H71" s="71">
        <v>260000</v>
      </c>
      <c r="I71" s="71">
        <f>1000+25000+25000</f>
        <v>51000</v>
      </c>
      <c r="J71" s="44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5">
        <f>F71+K71</f>
        <v>383000</v>
      </c>
    </row>
    <row r="72" spans="1:17" ht="33.75">
      <c r="A72" s="18"/>
      <c r="B72" s="41" t="s">
        <v>118</v>
      </c>
      <c r="C72" s="19">
        <v>4060</v>
      </c>
      <c r="D72" s="19" t="s">
        <v>119</v>
      </c>
      <c r="E72" s="42" t="s">
        <v>120</v>
      </c>
      <c r="F72" s="43">
        <f t="shared" ref="F72:Q72" si="21">F73</f>
        <v>3209500</v>
      </c>
      <c r="G72" s="43">
        <f t="shared" si="21"/>
        <v>3209500</v>
      </c>
      <c r="H72" s="43">
        <f t="shared" si="21"/>
        <v>1820000</v>
      </c>
      <c r="I72" s="43">
        <f t="shared" si="21"/>
        <v>726000</v>
      </c>
      <c r="J72" s="43">
        <f t="shared" si="21"/>
        <v>0</v>
      </c>
      <c r="K72" s="43">
        <f t="shared" si="21"/>
        <v>159900</v>
      </c>
      <c r="L72" s="43">
        <f t="shared" si="21"/>
        <v>99900</v>
      </c>
      <c r="M72" s="43">
        <f t="shared" si="21"/>
        <v>60000</v>
      </c>
      <c r="N72" s="43">
        <f t="shared" si="21"/>
        <v>10000</v>
      </c>
      <c r="O72" s="43">
        <f t="shared" si="21"/>
        <v>0</v>
      </c>
      <c r="P72" s="43">
        <f t="shared" si="21"/>
        <v>99900</v>
      </c>
      <c r="Q72" s="43">
        <f t="shared" si="21"/>
        <v>3369400</v>
      </c>
    </row>
    <row r="73" spans="1:17">
      <c r="A73" s="18"/>
      <c r="B73" s="19"/>
      <c r="C73" s="19"/>
      <c r="D73" s="19"/>
      <c r="E73" s="46" t="s">
        <v>40</v>
      </c>
      <c r="F73" s="43">
        <f>G73</f>
        <v>3209500</v>
      </c>
      <c r="G73" s="71">
        <f>2907000+250000+52500</f>
        <v>3209500</v>
      </c>
      <c r="H73" s="71">
        <v>1820000</v>
      </c>
      <c r="I73" s="71">
        <f>175000+280000+4000+17000+250000</f>
        <v>726000</v>
      </c>
      <c r="J73" s="44">
        <v>0</v>
      </c>
      <c r="K73" s="43">
        <f>M73+L73</f>
        <v>159900</v>
      </c>
      <c r="L73" s="71">
        <f>80000+19900</f>
        <v>99900</v>
      </c>
      <c r="M73" s="71">
        <v>60000</v>
      </c>
      <c r="N73" s="71">
        <v>10000</v>
      </c>
      <c r="O73" s="43">
        <v>0</v>
      </c>
      <c r="P73" s="43">
        <f>L73</f>
        <v>99900</v>
      </c>
      <c r="Q73" s="45">
        <f>F73+K73</f>
        <v>3369400</v>
      </c>
    </row>
    <row r="74" spans="1:17" ht="22.5">
      <c r="A74" s="18"/>
      <c r="B74" s="85" t="s">
        <v>121</v>
      </c>
      <c r="C74" s="25"/>
      <c r="D74" s="25"/>
      <c r="E74" s="86" t="s">
        <v>122</v>
      </c>
      <c r="F74" s="69">
        <f t="shared" ref="F74:P74" si="22">F75</f>
        <v>2500</v>
      </c>
      <c r="G74" s="69">
        <f t="shared" si="22"/>
        <v>2500</v>
      </c>
      <c r="H74" s="69">
        <f t="shared" si="22"/>
        <v>0</v>
      </c>
      <c r="I74" s="69">
        <f t="shared" si="22"/>
        <v>0</v>
      </c>
      <c r="J74" s="69">
        <f t="shared" si="22"/>
        <v>0</v>
      </c>
      <c r="K74" s="69">
        <f t="shared" si="22"/>
        <v>0</v>
      </c>
      <c r="L74" s="69">
        <f t="shared" si="22"/>
        <v>0</v>
      </c>
      <c r="M74" s="69">
        <f t="shared" si="22"/>
        <v>0</v>
      </c>
      <c r="N74" s="69">
        <f t="shared" si="22"/>
        <v>0</v>
      </c>
      <c r="O74" s="69">
        <f t="shared" si="22"/>
        <v>0</v>
      </c>
      <c r="P74" s="69">
        <f t="shared" si="22"/>
        <v>0</v>
      </c>
      <c r="Q74" s="52">
        <f>F74+K74</f>
        <v>2500</v>
      </c>
    </row>
    <row r="75" spans="1:17">
      <c r="A75" s="18"/>
      <c r="B75" s="41" t="s">
        <v>123</v>
      </c>
      <c r="C75" s="19">
        <v>4082</v>
      </c>
      <c r="D75" s="41" t="s">
        <v>124</v>
      </c>
      <c r="E75" s="42" t="s">
        <v>125</v>
      </c>
      <c r="F75" s="43">
        <f>G75</f>
        <v>2500</v>
      </c>
      <c r="G75" s="71">
        <f>15000-12500</f>
        <v>2500</v>
      </c>
      <c r="H75" s="43">
        <v>0</v>
      </c>
      <c r="I75" s="43">
        <v>0</v>
      </c>
      <c r="J75" s="44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5">
        <f>F75+K75</f>
        <v>2500</v>
      </c>
    </row>
    <row r="76" spans="1:17" hidden="1">
      <c r="A76" s="18"/>
      <c r="B76" s="27"/>
      <c r="C76" s="28">
        <v>5000</v>
      </c>
      <c r="D76" s="27"/>
      <c r="E76" s="29" t="s">
        <v>126</v>
      </c>
      <c r="F76" s="30">
        <f t="shared" ref="F76:Q77" si="23">F77</f>
        <v>0</v>
      </c>
      <c r="G76" s="30">
        <f t="shared" si="23"/>
        <v>0</v>
      </c>
      <c r="H76" s="30">
        <f t="shared" si="23"/>
        <v>0</v>
      </c>
      <c r="I76" s="30">
        <f t="shared" si="23"/>
        <v>0</v>
      </c>
      <c r="J76" s="30">
        <f t="shared" si="23"/>
        <v>0</v>
      </c>
      <c r="K76" s="30">
        <f t="shared" si="23"/>
        <v>0</v>
      </c>
      <c r="L76" s="30">
        <f t="shared" si="23"/>
        <v>0</v>
      </c>
      <c r="M76" s="30">
        <f t="shared" si="23"/>
        <v>0</v>
      </c>
      <c r="N76" s="30">
        <f t="shared" si="23"/>
        <v>0</v>
      </c>
      <c r="O76" s="30">
        <f t="shared" si="23"/>
        <v>0</v>
      </c>
      <c r="P76" s="30">
        <f t="shared" si="23"/>
        <v>0</v>
      </c>
      <c r="Q76" s="30">
        <f t="shared" si="23"/>
        <v>0</v>
      </c>
    </row>
    <row r="77" spans="1:17" ht="22.5" hidden="1">
      <c r="A77" s="18"/>
      <c r="B77" s="41" t="s">
        <v>127</v>
      </c>
      <c r="C77" s="19">
        <v>5060</v>
      </c>
      <c r="D77" s="19"/>
      <c r="E77" s="42" t="s">
        <v>128</v>
      </c>
      <c r="F77" s="43">
        <f t="shared" si="23"/>
        <v>0</v>
      </c>
      <c r="G77" s="43">
        <f t="shared" si="23"/>
        <v>0</v>
      </c>
      <c r="H77" s="43">
        <f t="shared" si="23"/>
        <v>0</v>
      </c>
      <c r="I77" s="43">
        <f t="shared" si="23"/>
        <v>0</v>
      </c>
      <c r="J77" s="43">
        <f t="shared" si="23"/>
        <v>0</v>
      </c>
      <c r="K77" s="43">
        <f t="shared" si="23"/>
        <v>0</v>
      </c>
      <c r="L77" s="43">
        <f t="shared" si="23"/>
        <v>0</v>
      </c>
      <c r="M77" s="43">
        <f t="shared" si="23"/>
        <v>0</v>
      </c>
      <c r="N77" s="43">
        <f t="shared" si="23"/>
        <v>0</v>
      </c>
      <c r="O77" s="43">
        <f t="shared" si="23"/>
        <v>0</v>
      </c>
      <c r="P77" s="43">
        <f t="shared" si="23"/>
        <v>0</v>
      </c>
      <c r="Q77" s="43">
        <f t="shared" si="23"/>
        <v>0</v>
      </c>
    </row>
    <row r="78" spans="1:17" ht="33.75" hidden="1">
      <c r="A78" s="18"/>
      <c r="B78" s="41" t="s">
        <v>129</v>
      </c>
      <c r="C78" s="19">
        <v>5062</v>
      </c>
      <c r="D78" s="41" t="s">
        <v>130</v>
      </c>
      <c r="E78" s="42" t="s">
        <v>131</v>
      </c>
      <c r="F78" s="43">
        <f>G78</f>
        <v>0</v>
      </c>
      <c r="G78" s="71">
        <f>30000-30000</f>
        <v>0</v>
      </c>
      <c r="H78" s="43">
        <v>0</v>
      </c>
      <c r="I78" s="43">
        <v>0</v>
      </c>
      <c r="J78" s="44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5">
        <f>F78+K78</f>
        <v>0</v>
      </c>
    </row>
    <row r="79" spans="1:17" ht="15" customHeight="1">
      <c r="A79" s="18"/>
      <c r="B79" s="136" t="s">
        <v>49</v>
      </c>
      <c r="C79" s="136" t="s">
        <v>50</v>
      </c>
      <c r="D79" s="136" t="s">
        <v>10</v>
      </c>
      <c r="E79" s="137" t="s">
        <v>51</v>
      </c>
      <c r="F79" s="139" t="s">
        <v>12</v>
      </c>
      <c r="G79" s="139"/>
      <c r="H79" s="139"/>
      <c r="I79" s="139"/>
      <c r="J79" s="139"/>
      <c r="K79" s="143" t="s">
        <v>13</v>
      </c>
      <c r="L79" s="143"/>
      <c r="M79" s="143"/>
      <c r="N79" s="143"/>
      <c r="O79" s="143"/>
      <c r="P79" s="143"/>
      <c r="Q79" s="143" t="s">
        <v>14</v>
      </c>
    </row>
    <row r="80" spans="1:17" ht="15" customHeight="1">
      <c r="A80" s="18"/>
      <c r="B80" s="136"/>
      <c r="C80" s="136"/>
      <c r="D80" s="136"/>
      <c r="E80" s="137"/>
      <c r="F80" s="139" t="s">
        <v>52</v>
      </c>
      <c r="G80" s="141" t="s">
        <v>16</v>
      </c>
      <c r="H80" s="137" t="s">
        <v>17</v>
      </c>
      <c r="I80" s="137"/>
      <c r="J80" s="141" t="s">
        <v>18</v>
      </c>
      <c r="K80" s="139" t="s">
        <v>52</v>
      </c>
      <c r="L80" s="141" t="s">
        <v>19</v>
      </c>
      <c r="M80" s="141" t="s">
        <v>16</v>
      </c>
      <c r="N80" s="137" t="s">
        <v>17</v>
      </c>
      <c r="O80" s="137"/>
      <c r="P80" s="141" t="s">
        <v>18</v>
      </c>
      <c r="Q80" s="143"/>
    </row>
    <row r="81" spans="1:17" ht="69.75" customHeight="1">
      <c r="A81" s="18"/>
      <c r="B81" s="136"/>
      <c r="C81" s="136"/>
      <c r="D81" s="136"/>
      <c r="E81" s="137"/>
      <c r="F81" s="139"/>
      <c r="G81" s="141"/>
      <c r="H81" s="20" t="s">
        <v>20</v>
      </c>
      <c r="I81" s="20" t="s">
        <v>21</v>
      </c>
      <c r="J81" s="141"/>
      <c r="K81" s="139"/>
      <c r="L81" s="141"/>
      <c r="M81" s="141"/>
      <c r="N81" s="20" t="s">
        <v>20</v>
      </c>
      <c r="O81" s="20" t="s">
        <v>21</v>
      </c>
      <c r="P81" s="141"/>
      <c r="Q81" s="143"/>
    </row>
    <row r="82" spans="1:17">
      <c r="A82" s="18"/>
      <c r="B82" s="19">
        <v>1</v>
      </c>
      <c r="C82" s="25">
        <v>2</v>
      </c>
      <c r="D82" s="25">
        <v>3</v>
      </c>
      <c r="E82" s="20">
        <v>4</v>
      </c>
      <c r="F82" s="21">
        <v>5</v>
      </c>
      <c r="G82" s="23">
        <v>6</v>
      </c>
      <c r="H82" s="20">
        <v>7</v>
      </c>
      <c r="I82" s="20">
        <v>8</v>
      </c>
      <c r="J82" s="24">
        <v>9</v>
      </c>
      <c r="K82" s="21">
        <v>10</v>
      </c>
      <c r="L82" s="23">
        <v>11</v>
      </c>
      <c r="M82" s="23">
        <v>12</v>
      </c>
      <c r="N82" s="20">
        <v>13</v>
      </c>
      <c r="O82" s="20">
        <v>14</v>
      </c>
      <c r="P82" s="23">
        <v>15</v>
      </c>
      <c r="Q82" s="22">
        <v>16</v>
      </c>
    </row>
    <row r="83" spans="1:17" ht="21">
      <c r="A83" s="18"/>
      <c r="B83" s="87"/>
      <c r="C83" s="88">
        <v>6000</v>
      </c>
      <c r="D83" s="87"/>
      <c r="E83" s="89" t="s">
        <v>132</v>
      </c>
      <c r="F83" s="30">
        <f t="shared" ref="F83:Q83" si="24">F84+F85</f>
        <v>4521930</v>
      </c>
      <c r="G83" s="30">
        <f t="shared" si="24"/>
        <v>4521930</v>
      </c>
      <c r="H83" s="30">
        <f t="shared" si="24"/>
        <v>0</v>
      </c>
      <c r="I83" s="30">
        <f t="shared" si="24"/>
        <v>743000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  <c r="Q83" s="30">
        <f t="shared" si="24"/>
        <v>4521930</v>
      </c>
    </row>
    <row r="84" spans="1:17" ht="36.75" customHeight="1">
      <c r="A84" s="18"/>
      <c r="B84" s="41" t="s">
        <v>133</v>
      </c>
      <c r="C84" s="41" t="s">
        <v>134</v>
      </c>
      <c r="D84" s="41" t="s">
        <v>135</v>
      </c>
      <c r="E84" s="42" t="s">
        <v>136</v>
      </c>
      <c r="F84" s="43">
        <f>G84</f>
        <v>3481230</v>
      </c>
      <c r="G84" s="71">
        <f>500000+500000+96588+109400+143272+107970+270000+150000+144000+1380000+50000+30000</f>
        <v>3481230</v>
      </c>
      <c r="H84" s="43">
        <v>0</v>
      </c>
      <c r="I84" s="43">
        <v>0</v>
      </c>
      <c r="J84" s="44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0</v>
      </c>
      <c r="Q84" s="45">
        <f>F84+K84</f>
        <v>3481230</v>
      </c>
    </row>
    <row r="85" spans="1:17">
      <c r="A85" s="18"/>
      <c r="B85" s="41" t="s">
        <v>137</v>
      </c>
      <c r="C85" s="41" t="s">
        <v>138</v>
      </c>
      <c r="D85" s="41" t="s">
        <v>135</v>
      </c>
      <c r="E85" s="42" t="s">
        <v>139</v>
      </c>
      <c r="F85" s="43">
        <f>G85</f>
        <v>1040700</v>
      </c>
      <c r="G85" s="71">
        <f>1193000+143272-143272-102300-50000</f>
        <v>1040700</v>
      </c>
      <c r="H85" s="43">
        <v>0</v>
      </c>
      <c r="I85" s="71">
        <f>843000-100000</f>
        <v>743000</v>
      </c>
      <c r="J85" s="44">
        <v>0</v>
      </c>
      <c r="K85" s="43">
        <f>L85</f>
        <v>0</v>
      </c>
      <c r="L85" s="43">
        <v>0</v>
      </c>
      <c r="M85" s="43">
        <v>0</v>
      </c>
      <c r="N85" s="43">
        <v>0</v>
      </c>
      <c r="O85" s="43">
        <v>0</v>
      </c>
      <c r="P85" s="43">
        <f>L85</f>
        <v>0</v>
      </c>
      <c r="Q85" s="45">
        <f>F85+K85</f>
        <v>1040700</v>
      </c>
    </row>
    <row r="86" spans="1:17" ht="21">
      <c r="A86" s="18"/>
      <c r="B86" s="41"/>
      <c r="C86" s="27" t="s">
        <v>140</v>
      </c>
      <c r="D86" s="41"/>
      <c r="E86" s="29" t="s">
        <v>141</v>
      </c>
      <c r="F86" s="43">
        <f t="shared" ref="F86:Q86" si="25">F87</f>
        <v>199500</v>
      </c>
      <c r="G86" s="43">
        <f t="shared" si="25"/>
        <v>199500</v>
      </c>
      <c r="H86" s="43">
        <f t="shared" si="25"/>
        <v>0</v>
      </c>
      <c r="I86" s="43">
        <f t="shared" si="25"/>
        <v>0</v>
      </c>
      <c r="J86" s="43">
        <f t="shared" si="25"/>
        <v>0</v>
      </c>
      <c r="K86" s="43">
        <f t="shared" si="25"/>
        <v>0</v>
      </c>
      <c r="L86" s="43">
        <f t="shared" si="25"/>
        <v>0</v>
      </c>
      <c r="M86" s="43">
        <f t="shared" si="25"/>
        <v>0</v>
      </c>
      <c r="N86" s="43">
        <f t="shared" si="25"/>
        <v>0</v>
      </c>
      <c r="O86" s="43">
        <f t="shared" si="25"/>
        <v>0</v>
      </c>
      <c r="P86" s="43">
        <f t="shared" si="25"/>
        <v>0</v>
      </c>
      <c r="Q86" s="43">
        <f t="shared" si="25"/>
        <v>199500</v>
      </c>
    </row>
    <row r="87" spans="1:17">
      <c r="A87" s="18"/>
      <c r="B87" s="41" t="s">
        <v>142</v>
      </c>
      <c r="C87" s="41" t="s">
        <v>143</v>
      </c>
      <c r="D87" s="41" t="s">
        <v>144</v>
      </c>
      <c r="E87" s="42" t="s">
        <v>145</v>
      </c>
      <c r="F87" s="43">
        <f>G87</f>
        <v>199500</v>
      </c>
      <c r="G87" s="71">
        <f>100000+39500+60000</f>
        <v>199500</v>
      </c>
      <c r="H87" s="43">
        <f t="shared" ref="H87:P87" si="26">H90</f>
        <v>0</v>
      </c>
      <c r="I87" s="43">
        <f t="shared" si="26"/>
        <v>0</v>
      </c>
      <c r="J87" s="43">
        <f t="shared" si="26"/>
        <v>0</v>
      </c>
      <c r="K87" s="43">
        <f t="shared" si="26"/>
        <v>0</v>
      </c>
      <c r="L87" s="43">
        <f t="shared" si="26"/>
        <v>0</v>
      </c>
      <c r="M87" s="43">
        <f t="shared" si="26"/>
        <v>0</v>
      </c>
      <c r="N87" s="43">
        <f t="shared" si="26"/>
        <v>0</v>
      </c>
      <c r="O87" s="43">
        <f t="shared" si="26"/>
        <v>0</v>
      </c>
      <c r="P87" s="43">
        <f t="shared" si="26"/>
        <v>0</v>
      </c>
      <c r="Q87" s="43">
        <f>F87+K87</f>
        <v>199500</v>
      </c>
    </row>
    <row r="88" spans="1:17" ht="21">
      <c r="A88" s="90"/>
      <c r="B88" s="91"/>
      <c r="C88" s="91" t="s">
        <v>146</v>
      </c>
      <c r="D88" s="91"/>
      <c r="E88" s="29" t="s">
        <v>147</v>
      </c>
      <c r="F88" s="30">
        <f t="shared" ref="F88:P88" si="27">F89</f>
        <v>0</v>
      </c>
      <c r="G88" s="30">
        <f t="shared" si="27"/>
        <v>0</v>
      </c>
      <c r="H88" s="30">
        <f t="shared" si="27"/>
        <v>0</v>
      </c>
      <c r="I88" s="30">
        <f t="shared" si="27"/>
        <v>0</v>
      </c>
      <c r="J88" s="30">
        <f t="shared" si="27"/>
        <v>0</v>
      </c>
      <c r="K88" s="30">
        <f t="shared" si="27"/>
        <v>74579</v>
      </c>
      <c r="L88" s="30">
        <f t="shared" si="27"/>
        <v>74579</v>
      </c>
      <c r="M88" s="30">
        <f t="shared" si="27"/>
        <v>0</v>
      </c>
      <c r="N88" s="30">
        <f t="shared" si="27"/>
        <v>0</v>
      </c>
      <c r="O88" s="30">
        <f t="shared" si="27"/>
        <v>0</v>
      </c>
      <c r="P88" s="30">
        <f t="shared" si="27"/>
        <v>74579</v>
      </c>
      <c r="Q88" s="30">
        <f>F88+K88</f>
        <v>74579</v>
      </c>
    </row>
    <row r="89" spans="1:17" ht="30.75" customHeight="1">
      <c r="A89" s="61"/>
      <c r="B89" s="57" t="s">
        <v>148</v>
      </c>
      <c r="C89" s="57" t="s">
        <v>149</v>
      </c>
      <c r="D89" s="57" t="s">
        <v>150</v>
      </c>
      <c r="E89" s="42" t="s">
        <v>151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f>L89</f>
        <v>74579</v>
      </c>
      <c r="L89" s="71">
        <f>14459+50000+10120</f>
        <v>74579</v>
      </c>
      <c r="M89" s="43">
        <v>0</v>
      </c>
      <c r="N89" s="43">
        <v>0</v>
      </c>
      <c r="O89" s="43">
        <v>0</v>
      </c>
      <c r="P89" s="43">
        <f>L89</f>
        <v>74579</v>
      </c>
      <c r="Q89" s="43">
        <f>F89+K89</f>
        <v>74579</v>
      </c>
    </row>
    <row r="90" spans="1:17" ht="31.5">
      <c r="A90" s="18"/>
      <c r="B90" s="27"/>
      <c r="C90" s="27" t="s">
        <v>152</v>
      </c>
      <c r="D90" s="27"/>
      <c r="E90" s="29" t="s">
        <v>153</v>
      </c>
      <c r="F90" s="30">
        <f t="shared" ref="F90:Q90" si="28">F91</f>
        <v>349000</v>
      </c>
      <c r="G90" s="30">
        <f t="shared" si="28"/>
        <v>349000</v>
      </c>
      <c r="H90" s="30">
        <f t="shared" si="28"/>
        <v>0</v>
      </c>
      <c r="I90" s="30">
        <f t="shared" si="28"/>
        <v>0</v>
      </c>
      <c r="J90" s="30">
        <f t="shared" si="28"/>
        <v>0</v>
      </c>
      <c r="K90" s="30">
        <f t="shared" si="28"/>
        <v>0</v>
      </c>
      <c r="L90" s="30">
        <f t="shared" si="28"/>
        <v>0</v>
      </c>
      <c r="M90" s="30">
        <f t="shared" si="28"/>
        <v>0</v>
      </c>
      <c r="N90" s="30">
        <f t="shared" si="28"/>
        <v>0</v>
      </c>
      <c r="O90" s="30">
        <f t="shared" si="28"/>
        <v>0</v>
      </c>
      <c r="P90" s="30">
        <f t="shared" si="28"/>
        <v>0</v>
      </c>
      <c r="Q90" s="30">
        <f t="shared" si="28"/>
        <v>349000</v>
      </c>
    </row>
    <row r="91" spans="1:17" ht="22.5">
      <c r="A91" s="18"/>
      <c r="B91" s="41" t="s">
        <v>154</v>
      </c>
      <c r="C91" s="41" t="s">
        <v>155</v>
      </c>
      <c r="D91" s="41"/>
      <c r="E91" s="42" t="s">
        <v>156</v>
      </c>
      <c r="F91" s="43">
        <f t="shared" ref="F91:P91" si="29">F92</f>
        <v>349000</v>
      </c>
      <c r="G91" s="43">
        <f t="shared" si="29"/>
        <v>349000</v>
      </c>
      <c r="H91" s="43">
        <f t="shared" si="29"/>
        <v>0</v>
      </c>
      <c r="I91" s="43">
        <f t="shared" si="29"/>
        <v>0</v>
      </c>
      <c r="J91" s="43">
        <f t="shared" si="29"/>
        <v>0</v>
      </c>
      <c r="K91" s="43">
        <f t="shared" si="29"/>
        <v>0</v>
      </c>
      <c r="L91" s="43">
        <f t="shared" si="29"/>
        <v>0</v>
      </c>
      <c r="M91" s="43">
        <f t="shared" si="29"/>
        <v>0</v>
      </c>
      <c r="N91" s="43">
        <f t="shared" si="29"/>
        <v>0</v>
      </c>
      <c r="O91" s="43">
        <f t="shared" si="29"/>
        <v>0</v>
      </c>
      <c r="P91" s="43">
        <f t="shared" si="29"/>
        <v>0</v>
      </c>
      <c r="Q91" s="45">
        <f>F91+K91</f>
        <v>349000</v>
      </c>
    </row>
    <row r="92" spans="1:17" ht="33.75" customHeight="1">
      <c r="A92" s="18"/>
      <c r="B92" s="41" t="s">
        <v>157</v>
      </c>
      <c r="C92" s="41" t="s">
        <v>158</v>
      </c>
      <c r="D92" s="41" t="s">
        <v>159</v>
      </c>
      <c r="E92" s="42" t="s">
        <v>160</v>
      </c>
      <c r="F92" s="43">
        <f>G92</f>
        <v>349000</v>
      </c>
      <c r="G92" s="71">
        <f>200000+149000</f>
        <v>349000</v>
      </c>
      <c r="H92" s="43">
        <v>0</v>
      </c>
      <c r="I92" s="43">
        <v>0</v>
      </c>
      <c r="J92" s="44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5">
        <f>F92+K92</f>
        <v>349000</v>
      </c>
    </row>
    <row r="93" spans="1:17" ht="31.5">
      <c r="A93" s="90"/>
      <c r="B93" s="27"/>
      <c r="C93" s="27" t="s">
        <v>161</v>
      </c>
      <c r="D93" s="27"/>
      <c r="E93" s="92" t="s">
        <v>162</v>
      </c>
      <c r="F93" s="93">
        <f t="shared" ref="F93:Q93" si="30">F96+F95+F94</f>
        <v>13000</v>
      </c>
      <c r="G93" s="93">
        <f t="shared" si="30"/>
        <v>13000</v>
      </c>
      <c r="H93" s="93">
        <f t="shared" si="30"/>
        <v>0</v>
      </c>
      <c r="I93" s="93">
        <f t="shared" si="30"/>
        <v>0</v>
      </c>
      <c r="J93" s="93">
        <f t="shared" si="30"/>
        <v>0</v>
      </c>
      <c r="K93" s="93">
        <f t="shared" si="30"/>
        <v>295980</v>
      </c>
      <c r="L93" s="93">
        <f t="shared" si="30"/>
        <v>239980</v>
      </c>
      <c r="M93" s="93">
        <f t="shared" si="30"/>
        <v>56000</v>
      </c>
      <c r="N93" s="93">
        <f t="shared" si="30"/>
        <v>0</v>
      </c>
      <c r="O93" s="93">
        <f t="shared" si="30"/>
        <v>0</v>
      </c>
      <c r="P93" s="93">
        <f t="shared" si="30"/>
        <v>239980</v>
      </c>
      <c r="Q93" s="93">
        <f t="shared" si="30"/>
        <v>308980</v>
      </c>
    </row>
    <row r="94" spans="1:17" ht="22.5">
      <c r="A94" s="94" t="s">
        <v>163</v>
      </c>
      <c r="B94" s="57" t="s">
        <v>164</v>
      </c>
      <c r="C94" s="57" t="s">
        <v>165</v>
      </c>
      <c r="D94" s="20" t="s">
        <v>166</v>
      </c>
      <c r="E94" s="42" t="s">
        <v>163</v>
      </c>
      <c r="F94" s="43">
        <f>G94</f>
        <v>0</v>
      </c>
      <c r="G94" s="43">
        <f>H94</f>
        <v>0</v>
      </c>
      <c r="H94" s="43">
        <v>0</v>
      </c>
      <c r="I94" s="43">
        <v>0</v>
      </c>
      <c r="J94" s="43">
        <v>0</v>
      </c>
      <c r="K94" s="43">
        <f>L94</f>
        <v>239980</v>
      </c>
      <c r="L94" s="71">
        <f>18000+2100+60000-10120+170000</f>
        <v>239980</v>
      </c>
      <c r="M94" s="43">
        <v>0</v>
      </c>
      <c r="N94" s="43">
        <v>0</v>
      </c>
      <c r="O94" s="43">
        <v>0</v>
      </c>
      <c r="P94" s="43">
        <f>L94</f>
        <v>239980</v>
      </c>
      <c r="Q94" s="43">
        <f>F94+K94</f>
        <v>239980</v>
      </c>
    </row>
    <row r="95" spans="1:17" ht="22.5">
      <c r="A95" s="18"/>
      <c r="B95" s="20" t="s">
        <v>167</v>
      </c>
      <c r="C95" s="57" t="s">
        <v>168</v>
      </c>
      <c r="D95" s="20" t="s">
        <v>166</v>
      </c>
      <c r="E95" s="42" t="s">
        <v>169</v>
      </c>
      <c r="F95" s="43">
        <f>G95</f>
        <v>13000</v>
      </c>
      <c r="G95" s="71">
        <f>12000+1000</f>
        <v>13000</v>
      </c>
      <c r="H95" s="43">
        <v>0</v>
      </c>
      <c r="I95" s="43">
        <v>0</v>
      </c>
      <c r="J95" s="43">
        <v>0</v>
      </c>
      <c r="K95" s="43">
        <f>L95</f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f>F95+K95</f>
        <v>13000</v>
      </c>
    </row>
    <row r="96" spans="1:17">
      <c r="A96" s="18"/>
      <c r="B96" s="41" t="s">
        <v>170</v>
      </c>
      <c r="C96" s="19">
        <v>7690</v>
      </c>
      <c r="D96" s="41"/>
      <c r="E96" s="42" t="s">
        <v>171</v>
      </c>
      <c r="F96" s="43">
        <f t="shared" ref="F96:P96" si="31">F97</f>
        <v>0</v>
      </c>
      <c r="G96" s="43">
        <f t="shared" si="31"/>
        <v>0</v>
      </c>
      <c r="H96" s="43">
        <f t="shared" si="31"/>
        <v>0</v>
      </c>
      <c r="I96" s="43">
        <f t="shared" si="31"/>
        <v>0</v>
      </c>
      <c r="J96" s="44">
        <f t="shared" si="31"/>
        <v>0</v>
      </c>
      <c r="K96" s="43">
        <f t="shared" si="31"/>
        <v>56000</v>
      </c>
      <c r="L96" s="43">
        <f t="shared" si="31"/>
        <v>0</v>
      </c>
      <c r="M96" s="43">
        <f t="shared" si="31"/>
        <v>56000</v>
      </c>
      <c r="N96" s="43">
        <f t="shared" si="31"/>
        <v>0</v>
      </c>
      <c r="O96" s="43">
        <f t="shared" si="31"/>
        <v>0</v>
      </c>
      <c r="P96" s="43">
        <f t="shared" si="31"/>
        <v>0</v>
      </c>
      <c r="Q96" s="45">
        <f>F96+K96</f>
        <v>56000</v>
      </c>
    </row>
    <row r="97" spans="1:17" ht="73.5" customHeight="1">
      <c r="A97" s="18"/>
      <c r="B97" s="41" t="s">
        <v>172</v>
      </c>
      <c r="C97" s="41" t="s">
        <v>173</v>
      </c>
      <c r="D97" s="41" t="s">
        <v>166</v>
      </c>
      <c r="E97" s="95" t="s">
        <v>174</v>
      </c>
      <c r="F97" s="43">
        <f>G97</f>
        <v>0</v>
      </c>
      <c r="G97" s="43">
        <v>0</v>
      </c>
      <c r="H97" s="43">
        <v>0</v>
      </c>
      <c r="I97" s="43">
        <v>0</v>
      </c>
      <c r="J97" s="44">
        <v>0</v>
      </c>
      <c r="K97" s="43">
        <f>M97</f>
        <v>56000</v>
      </c>
      <c r="L97" s="43">
        <v>0</v>
      </c>
      <c r="M97" s="71">
        <f>10000+46000</f>
        <v>56000</v>
      </c>
      <c r="N97" s="43">
        <v>0</v>
      </c>
      <c r="O97" s="43">
        <v>0</v>
      </c>
      <c r="P97" s="43">
        <v>0</v>
      </c>
      <c r="Q97" s="45">
        <f>F97+K97</f>
        <v>56000</v>
      </c>
    </row>
    <row r="98" spans="1:17">
      <c r="A98" s="18"/>
      <c r="B98" s="27"/>
      <c r="C98" s="27" t="s">
        <v>175</v>
      </c>
      <c r="D98" s="27"/>
      <c r="E98" s="29" t="s">
        <v>176</v>
      </c>
      <c r="F98" s="30">
        <f t="shared" ref="F98:Q98" si="32">F100+F99</f>
        <v>76207</v>
      </c>
      <c r="G98" s="30">
        <f t="shared" si="32"/>
        <v>76207</v>
      </c>
      <c r="H98" s="30">
        <f t="shared" si="32"/>
        <v>0</v>
      </c>
      <c r="I98" s="30">
        <f t="shared" si="32"/>
        <v>20300</v>
      </c>
      <c r="J98" s="30">
        <f t="shared" si="32"/>
        <v>0</v>
      </c>
      <c r="K98" s="30">
        <f t="shared" si="32"/>
        <v>0</v>
      </c>
      <c r="L98" s="30">
        <f t="shared" si="32"/>
        <v>0</v>
      </c>
      <c r="M98" s="30">
        <f t="shared" si="32"/>
        <v>0</v>
      </c>
      <c r="N98" s="30">
        <f t="shared" si="32"/>
        <v>0</v>
      </c>
      <c r="O98" s="30">
        <f t="shared" si="32"/>
        <v>0</v>
      </c>
      <c r="P98" s="30">
        <f t="shared" si="32"/>
        <v>0</v>
      </c>
      <c r="Q98" s="30">
        <f t="shared" si="32"/>
        <v>76207</v>
      </c>
    </row>
    <row r="99" spans="1:17" s="104" customFormat="1">
      <c r="A99" s="96"/>
      <c r="B99" s="97" t="s">
        <v>177</v>
      </c>
      <c r="C99" s="98" t="s">
        <v>178</v>
      </c>
      <c r="D99" s="97" t="s">
        <v>179</v>
      </c>
      <c r="E99" s="99" t="s">
        <v>180</v>
      </c>
      <c r="F99" s="100">
        <f>G99</f>
        <v>50000</v>
      </c>
      <c r="G99" s="101">
        <f>150000-100000</f>
        <v>50000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O99" s="102">
        <v>0</v>
      </c>
      <c r="P99" s="102">
        <v>0</v>
      </c>
      <c r="Q99" s="103">
        <f>F99+K99</f>
        <v>50000</v>
      </c>
    </row>
    <row r="100" spans="1:17">
      <c r="A100" s="18"/>
      <c r="B100" s="41" t="s">
        <v>181</v>
      </c>
      <c r="C100" s="41" t="s">
        <v>182</v>
      </c>
      <c r="D100" s="41" t="s">
        <v>179</v>
      </c>
      <c r="E100" s="42" t="s">
        <v>183</v>
      </c>
      <c r="F100" s="43">
        <f>G100</f>
        <v>26207</v>
      </c>
      <c r="G100" s="43">
        <f>23907+2300</f>
        <v>26207</v>
      </c>
      <c r="H100" s="69">
        <v>0</v>
      </c>
      <c r="I100" s="69">
        <f>16000+2300+2000</f>
        <v>20300</v>
      </c>
      <c r="J100" s="105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45">
        <f>F100+K100</f>
        <v>26207</v>
      </c>
    </row>
    <row r="101" spans="1:17" ht="21">
      <c r="A101" s="18"/>
      <c r="B101" s="27"/>
      <c r="C101" s="27" t="s">
        <v>184</v>
      </c>
      <c r="D101" s="27"/>
      <c r="E101" s="29" t="s">
        <v>185</v>
      </c>
      <c r="F101" s="30">
        <f t="shared" ref="F101:Q101" si="33">F102</f>
        <v>0</v>
      </c>
      <c r="G101" s="30">
        <f t="shared" si="33"/>
        <v>0</v>
      </c>
      <c r="H101" s="30">
        <f t="shared" si="33"/>
        <v>0</v>
      </c>
      <c r="I101" s="30">
        <f t="shared" si="33"/>
        <v>0</v>
      </c>
      <c r="J101" s="30">
        <f t="shared" si="33"/>
        <v>0</v>
      </c>
      <c r="K101" s="30">
        <f t="shared" si="33"/>
        <v>15000</v>
      </c>
      <c r="L101" s="30">
        <f t="shared" si="33"/>
        <v>0</v>
      </c>
      <c r="M101" s="30">
        <f t="shared" si="33"/>
        <v>15000</v>
      </c>
      <c r="N101" s="30">
        <f t="shared" si="33"/>
        <v>0</v>
      </c>
      <c r="O101" s="30">
        <f t="shared" si="33"/>
        <v>0</v>
      </c>
      <c r="P101" s="30">
        <f t="shared" si="33"/>
        <v>0</v>
      </c>
      <c r="Q101" s="30">
        <f t="shared" si="33"/>
        <v>15000</v>
      </c>
    </row>
    <row r="102" spans="1:17" ht="22.5">
      <c r="A102" s="18"/>
      <c r="B102" s="41" t="s">
        <v>186</v>
      </c>
      <c r="C102" s="41" t="s">
        <v>187</v>
      </c>
      <c r="D102" s="41"/>
      <c r="E102" s="42" t="s">
        <v>188</v>
      </c>
      <c r="F102" s="43">
        <f t="shared" ref="F102:P103" si="34">F103</f>
        <v>0</v>
      </c>
      <c r="G102" s="43">
        <f t="shared" si="34"/>
        <v>0</v>
      </c>
      <c r="H102" s="43">
        <f t="shared" si="34"/>
        <v>0</v>
      </c>
      <c r="I102" s="43">
        <f t="shared" si="34"/>
        <v>0</v>
      </c>
      <c r="J102" s="44">
        <f t="shared" si="34"/>
        <v>0</v>
      </c>
      <c r="K102" s="43">
        <f t="shared" si="34"/>
        <v>15000</v>
      </c>
      <c r="L102" s="43">
        <f t="shared" si="34"/>
        <v>0</v>
      </c>
      <c r="M102" s="43">
        <f t="shared" si="34"/>
        <v>15000</v>
      </c>
      <c r="N102" s="43">
        <f t="shared" si="34"/>
        <v>0</v>
      </c>
      <c r="O102" s="43">
        <f t="shared" si="34"/>
        <v>0</v>
      </c>
      <c r="P102" s="43">
        <f t="shared" si="34"/>
        <v>0</v>
      </c>
      <c r="Q102" s="45">
        <f>F102+K102</f>
        <v>15000</v>
      </c>
    </row>
    <row r="103" spans="1:17" ht="22.5">
      <c r="A103" s="18"/>
      <c r="B103" s="41" t="s">
        <v>189</v>
      </c>
      <c r="C103" s="41" t="s">
        <v>190</v>
      </c>
      <c r="D103" s="41" t="s">
        <v>191</v>
      </c>
      <c r="E103" s="42" t="s">
        <v>192</v>
      </c>
      <c r="F103" s="43">
        <f t="shared" si="34"/>
        <v>0</v>
      </c>
      <c r="G103" s="43">
        <f t="shared" si="34"/>
        <v>0</v>
      </c>
      <c r="H103" s="43">
        <f t="shared" si="34"/>
        <v>0</v>
      </c>
      <c r="I103" s="43">
        <f t="shared" si="34"/>
        <v>0</v>
      </c>
      <c r="J103" s="43">
        <f t="shared" si="34"/>
        <v>0</v>
      </c>
      <c r="K103" s="43">
        <f t="shared" si="34"/>
        <v>15000</v>
      </c>
      <c r="L103" s="43">
        <f t="shared" si="34"/>
        <v>0</v>
      </c>
      <c r="M103" s="43">
        <f t="shared" si="34"/>
        <v>15000</v>
      </c>
      <c r="N103" s="43">
        <f t="shared" si="34"/>
        <v>0</v>
      </c>
      <c r="O103" s="43">
        <f t="shared" si="34"/>
        <v>0</v>
      </c>
      <c r="P103" s="43">
        <f t="shared" si="34"/>
        <v>0</v>
      </c>
      <c r="Q103" s="43">
        <f>Q104</f>
        <v>15000</v>
      </c>
    </row>
    <row r="104" spans="1:17">
      <c r="A104" s="18"/>
      <c r="B104" s="41"/>
      <c r="C104" s="41"/>
      <c r="D104" s="41"/>
      <c r="E104" s="46" t="s">
        <v>40</v>
      </c>
      <c r="F104" s="43">
        <v>0</v>
      </c>
      <c r="G104" s="43">
        <v>0</v>
      </c>
      <c r="H104" s="43">
        <v>0</v>
      </c>
      <c r="I104" s="43">
        <v>0</v>
      </c>
      <c r="J104" s="44">
        <v>0</v>
      </c>
      <c r="K104" s="43">
        <f>M104</f>
        <v>15000</v>
      </c>
      <c r="L104" s="43">
        <v>0</v>
      </c>
      <c r="M104" s="71">
        <v>15000</v>
      </c>
      <c r="N104" s="43">
        <v>0</v>
      </c>
      <c r="O104" s="43">
        <v>0</v>
      </c>
      <c r="P104" s="43">
        <v>0</v>
      </c>
      <c r="Q104" s="45">
        <f>F104+K104</f>
        <v>15000</v>
      </c>
    </row>
    <row r="105" spans="1:17">
      <c r="A105" s="18"/>
      <c r="B105" s="27"/>
      <c r="C105" s="27" t="s">
        <v>193</v>
      </c>
      <c r="D105" s="27"/>
      <c r="E105" s="29" t="s">
        <v>194</v>
      </c>
      <c r="F105" s="30">
        <f t="shared" ref="F105:P105" si="35">F106</f>
        <v>900000</v>
      </c>
      <c r="G105" s="30">
        <f t="shared" si="35"/>
        <v>0</v>
      </c>
      <c r="H105" s="30">
        <f t="shared" si="35"/>
        <v>0</v>
      </c>
      <c r="I105" s="30">
        <f t="shared" si="35"/>
        <v>0</v>
      </c>
      <c r="J105" s="30">
        <f t="shared" si="35"/>
        <v>0</v>
      </c>
      <c r="K105" s="73">
        <f t="shared" si="35"/>
        <v>0</v>
      </c>
      <c r="L105" s="73">
        <f t="shared" si="35"/>
        <v>0</v>
      </c>
      <c r="M105" s="73">
        <f t="shared" si="35"/>
        <v>0</v>
      </c>
      <c r="N105" s="73">
        <f t="shared" si="35"/>
        <v>0</v>
      </c>
      <c r="O105" s="73">
        <f t="shared" si="35"/>
        <v>0</v>
      </c>
      <c r="P105" s="73">
        <f t="shared" si="35"/>
        <v>0</v>
      </c>
      <c r="Q105" s="45">
        <f>F105+K105</f>
        <v>900000</v>
      </c>
    </row>
    <row r="106" spans="1:17">
      <c r="A106" s="18"/>
      <c r="B106" s="41" t="s">
        <v>195</v>
      </c>
      <c r="C106" s="19">
        <v>8700</v>
      </c>
      <c r="D106" s="41" t="s">
        <v>33</v>
      </c>
      <c r="E106" s="95" t="s">
        <v>196</v>
      </c>
      <c r="F106" s="71">
        <f>100000+200000+600000</f>
        <v>900000</v>
      </c>
      <c r="G106" s="43">
        <v>0</v>
      </c>
      <c r="H106" s="43">
        <v>0</v>
      </c>
      <c r="I106" s="43">
        <v>0</v>
      </c>
      <c r="J106" s="44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5">
        <f>F106+K106</f>
        <v>900000</v>
      </c>
    </row>
    <row r="107" spans="1:17" ht="21">
      <c r="A107" s="18"/>
      <c r="B107" s="27" t="s">
        <v>197</v>
      </c>
      <c r="C107" s="28"/>
      <c r="D107" s="28"/>
      <c r="E107" s="29" t="s">
        <v>198</v>
      </c>
      <c r="F107" s="30">
        <f t="shared" ref="F107:Q107" si="36">F108</f>
        <v>3313550</v>
      </c>
      <c r="G107" s="30">
        <f t="shared" si="36"/>
        <v>3313550</v>
      </c>
      <c r="H107" s="30">
        <f t="shared" si="36"/>
        <v>600000</v>
      </c>
      <c r="I107" s="30">
        <f t="shared" si="36"/>
        <v>26219</v>
      </c>
      <c r="J107" s="30">
        <f t="shared" si="36"/>
        <v>0</v>
      </c>
      <c r="K107" s="30">
        <f t="shared" si="36"/>
        <v>134110</v>
      </c>
      <c r="L107" s="30">
        <f t="shared" si="36"/>
        <v>134110</v>
      </c>
      <c r="M107" s="30">
        <f t="shared" si="36"/>
        <v>0</v>
      </c>
      <c r="N107" s="30">
        <f t="shared" si="36"/>
        <v>0</v>
      </c>
      <c r="O107" s="30">
        <f t="shared" si="36"/>
        <v>0</v>
      </c>
      <c r="P107" s="30">
        <f t="shared" si="36"/>
        <v>134110</v>
      </c>
      <c r="Q107" s="30">
        <f t="shared" si="36"/>
        <v>3447660</v>
      </c>
    </row>
    <row r="108" spans="1:17" ht="21">
      <c r="A108" s="18"/>
      <c r="B108" s="27" t="s">
        <v>199</v>
      </c>
      <c r="C108" s="28"/>
      <c r="D108" s="28"/>
      <c r="E108" s="29" t="s">
        <v>198</v>
      </c>
      <c r="F108" s="30">
        <f t="shared" ref="F108:P108" si="37">F109+F115</f>
        <v>3313550</v>
      </c>
      <c r="G108" s="30">
        <f t="shared" si="37"/>
        <v>3313550</v>
      </c>
      <c r="H108" s="30">
        <f t="shared" si="37"/>
        <v>600000</v>
      </c>
      <c r="I108" s="30">
        <f t="shared" si="37"/>
        <v>26219</v>
      </c>
      <c r="J108" s="30">
        <f t="shared" si="37"/>
        <v>0</v>
      </c>
      <c r="K108" s="30">
        <f t="shared" si="37"/>
        <v>134110</v>
      </c>
      <c r="L108" s="30">
        <f t="shared" si="37"/>
        <v>134110</v>
      </c>
      <c r="M108" s="30">
        <f t="shared" si="37"/>
        <v>0</v>
      </c>
      <c r="N108" s="30">
        <f t="shared" si="37"/>
        <v>0</v>
      </c>
      <c r="O108" s="30">
        <f t="shared" si="37"/>
        <v>0</v>
      </c>
      <c r="P108" s="30">
        <f t="shared" si="37"/>
        <v>134110</v>
      </c>
      <c r="Q108" s="30">
        <f>K108+F108</f>
        <v>3447660</v>
      </c>
    </row>
    <row r="109" spans="1:17">
      <c r="A109" s="18"/>
      <c r="B109" s="27"/>
      <c r="C109" s="27" t="s">
        <v>25</v>
      </c>
      <c r="D109" s="28"/>
      <c r="E109" s="29" t="s">
        <v>26</v>
      </c>
      <c r="F109" s="30">
        <f t="shared" ref="F109:P109" si="38">F110</f>
        <v>817219</v>
      </c>
      <c r="G109" s="30">
        <f t="shared" si="38"/>
        <v>817219</v>
      </c>
      <c r="H109" s="30">
        <f t="shared" si="38"/>
        <v>600000</v>
      </c>
      <c r="I109" s="30">
        <f t="shared" si="38"/>
        <v>26219</v>
      </c>
      <c r="J109" s="30">
        <f t="shared" si="38"/>
        <v>0</v>
      </c>
      <c r="K109" s="30">
        <f t="shared" si="38"/>
        <v>0</v>
      </c>
      <c r="L109" s="30">
        <f t="shared" si="38"/>
        <v>0</v>
      </c>
      <c r="M109" s="30">
        <f t="shared" si="38"/>
        <v>0</v>
      </c>
      <c r="N109" s="30">
        <f t="shared" si="38"/>
        <v>0</v>
      </c>
      <c r="O109" s="30">
        <f t="shared" si="38"/>
        <v>0</v>
      </c>
      <c r="P109" s="30">
        <f t="shared" si="38"/>
        <v>0</v>
      </c>
      <c r="Q109" s="106">
        <f>F109+K109</f>
        <v>817219</v>
      </c>
    </row>
    <row r="110" spans="1:17" ht="33.75">
      <c r="A110" s="18"/>
      <c r="B110" s="19">
        <v>3710160</v>
      </c>
      <c r="C110" s="19" t="s">
        <v>28</v>
      </c>
      <c r="D110" s="19" t="s">
        <v>29</v>
      </c>
      <c r="E110" s="58" t="s">
        <v>30</v>
      </c>
      <c r="F110" s="43">
        <f>G110</f>
        <v>817219</v>
      </c>
      <c r="G110" s="71">
        <f>829000-5181-6600</f>
        <v>817219</v>
      </c>
      <c r="H110" s="71">
        <v>600000</v>
      </c>
      <c r="I110" s="107">
        <f>15000+11219</f>
        <v>26219</v>
      </c>
      <c r="J110" s="43">
        <v>0</v>
      </c>
      <c r="K110" s="43">
        <f>M110</f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f>K110+F110</f>
        <v>817219</v>
      </c>
    </row>
    <row r="111" spans="1:17" ht="15" customHeight="1">
      <c r="A111" s="18"/>
      <c r="B111" s="136" t="s">
        <v>49</v>
      </c>
      <c r="C111" s="136" t="s">
        <v>50</v>
      </c>
      <c r="D111" s="136" t="s">
        <v>10</v>
      </c>
      <c r="E111" s="137" t="s">
        <v>51</v>
      </c>
      <c r="F111" s="139" t="s">
        <v>12</v>
      </c>
      <c r="G111" s="139"/>
      <c r="H111" s="139"/>
      <c r="I111" s="139"/>
      <c r="J111" s="139"/>
      <c r="K111" s="143" t="s">
        <v>13</v>
      </c>
      <c r="L111" s="143"/>
      <c r="M111" s="143"/>
      <c r="N111" s="143"/>
      <c r="O111" s="143"/>
      <c r="P111" s="143"/>
      <c r="Q111" s="143" t="s">
        <v>14</v>
      </c>
    </row>
    <row r="112" spans="1:17" ht="15" customHeight="1">
      <c r="A112" s="18"/>
      <c r="B112" s="136"/>
      <c r="C112" s="136"/>
      <c r="D112" s="136"/>
      <c r="E112" s="137"/>
      <c r="F112" s="139" t="s">
        <v>52</v>
      </c>
      <c r="G112" s="141" t="s">
        <v>16</v>
      </c>
      <c r="H112" s="137" t="s">
        <v>17</v>
      </c>
      <c r="I112" s="137"/>
      <c r="J112" s="141" t="s">
        <v>18</v>
      </c>
      <c r="K112" s="139" t="s">
        <v>52</v>
      </c>
      <c r="L112" s="141" t="s">
        <v>19</v>
      </c>
      <c r="M112" s="141" t="s">
        <v>16</v>
      </c>
      <c r="N112" s="137" t="s">
        <v>17</v>
      </c>
      <c r="O112" s="137"/>
      <c r="P112" s="141" t="s">
        <v>18</v>
      </c>
      <c r="Q112" s="143"/>
    </row>
    <row r="113" spans="1:18" ht="60.75" customHeight="1">
      <c r="A113" s="18"/>
      <c r="B113" s="136"/>
      <c r="C113" s="136"/>
      <c r="D113" s="136"/>
      <c r="E113" s="137"/>
      <c r="F113" s="139"/>
      <c r="G113" s="141"/>
      <c r="H113" s="20" t="s">
        <v>20</v>
      </c>
      <c r="I113" s="20" t="s">
        <v>21</v>
      </c>
      <c r="J113" s="141"/>
      <c r="K113" s="139"/>
      <c r="L113" s="141"/>
      <c r="M113" s="141"/>
      <c r="N113" s="20" t="s">
        <v>20</v>
      </c>
      <c r="O113" s="20" t="s">
        <v>21</v>
      </c>
      <c r="P113" s="141"/>
      <c r="Q113" s="143"/>
    </row>
    <row r="114" spans="1:18">
      <c r="A114" s="18"/>
      <c r="B114" s="19">
        <v>1</v>
      </c>
      <c r="C114" s="25">
        <v>2</v>
      </c>
      <c r="D114" s="25">
        <v>3</v>
      </c>
      <c r="E114" s="20">
        <v>4</v>
      </c>
      <c r="F114" s="21">
        <v>5</v>
      </c>
      <c r="G114" s="23">
        <v>6</v>
      </c>
      <c r="H114" s="20">
        <v>7</v>
      </c>
      <c r="I114" s="20">
        <v>8</v>
      </c>
      <c r="J114" s="24">
        <v>9</v>
      </c>
      <c r="K114" s="21">
        <v>10</v>
      </c>
      <c r="L114" s="23">
        <v>11</v>
      </c>
      <c r="M114" s="23">
        <v>12</v>
      </c>
      <c r="N114" s="20">
        <v>13</v>
      </c>
      <c r="O114" s="20">
        <v>14</v>
      </c>
      <c r="P114" s="23">
        <v>15</v>
      </c>
      <c r="Q114" s="22">
        <v>16</v>
      </c>
    </row>
    <row r="115" spans="1:18">
      <c r="A115" s="18"/>
      <c r="B115" s="28"/>
      <c r="C115" s="28">
        <v>9000</v>
      </c>
      <c r="D115" s="27"/>
      <c r="E115" s="108" t="s">
        <v>200</v>
      </c>
      <c r="F115" s="30">
        <f t="shared" ref="F115:Q115" si="39">SUM(F116:F120)</f>
        <v>2496331</v>
      </c>
      <c r="G115" s="30">
        <f t="shared" si="39"/>
        <v>2496331</v>
      </c>
      <c r="H115" s="30">
        <f t="shared" si="39"/>
        <v>0</v>
      </c>
      <c r="I115" s="30">
        <f t="shared" si="39"/>
        <v>0</v>
      </c>
      <c r="J115" s="30">
        <f t="shared" si="39"/>
        <v>0</v>
      </c>
      <c r="K115" s="30">
        <f t="shared" si="39"/>
        <v>134110</v>
      </c>
      <c r="L115" s="30">
        <f t="shared" si="39"/>
        <v>134110</v>
      </c>
      <c r="M115" s="30">
        <f t="shared" si="39"/>
        <v>0</v>
      </c>
      <c r="N115" s="30">
        <f t="shared" si="39"/>
        <v>0</v>
      </c>
      <c r="O115" s="30">
        <f t="shared" si="39"/>
        <v>0</v>
      </c>
      <c r="P115" s="30">
        <f t="shared" si="39"/>
        <v>134110</v>
      </c>
      <c r="Q115" s="30">
        <f t="shared" si="39"/>
        <v>2630441</v>
      </c>
    </row>
    <row r="116" spans="1:18" ht="78.75">
      <c r="A116" s="18"/>
      <c r="B116" s="19" t="s">
        <v>201</v>
      </c>
      <c r="C116" s="19" t="s">
        <v>202</v>
      </c>
      <c r="D116" s="19" t="s">
        <v>32</v>
      </c>
      <c r="E116" s="95" t="s">
        <v>203</v>
      </c>
      <c r="F116" s="34">
        <f>G116</f>
        <v>500000</v>
      </c>
      <c r="G116" s="35">
        <v>500000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6">
        <f>F116+K116</f>
        <v>500000</v>
      </c>
    </row>
    <row r="117" spans="1:18" s="114" customFormat="1" ht="22.5">
      <c r="A117" s="109"/>
      <c r="B117" s="110">
        <v>3719750</v>
      </c>
      <c r="C117" s="110">
        <v>9750</v>
      </c>
      <c r="D117" s="111" t="s">
        <v>32</v>
      </c>
      <c r="E117" s="112" t="s">
        <v>204</v>
      </c>
      <c r="F117" s="34">
        <f>G117</f>
        <v>0</v>
      </c>
      <c r="G117" s="34">
        <v>0</v>
      </c>
      <c r="H117" s="34">
        <v>0</v>
      </c>
      <c r="I117" s="34">
        <v>0</v>
      </c>
      <c r="J117" s="34">
        <v>0</v>
      </c>
      <c r="K117" s="113">
        <f>L117</f>
        <v>11960</v>
      </c>
      <c r="L117" s="107">
        <v>11960</v>
      </c>
      <c r="M117" s="113">
        <v>0</v>
      </c>
      <c r="N117" s="113">
        <v>0</v>
      </c>
      <c r="O117" s="113">
        <v>0</v>
      </c>
      <c r="P117" s="113">
        <f>L117</f>
        <v>11960</v>
      </c>
      <c r="Q117" s="36">
        <f>F117+K117</f>
        <v>11960</v>
      </c>
    </row>
    <row r="118" spans="1:18">
      <c r="A118" s="18"/>
      <c r="B118" s="110">
        <v>3719770</v>
      </c>
      <c r="C118" s="110" t="s">
        <v>205</v>
      </c>
      <c r="D118" s="110" t="s">
        <v>32</v>
      </c>
      <c r="E118" s="115" t="s">
        <v>206</v>
      </c>
      <c r="F118" s="34">
        <f>G118</f>
        <v>1654181</v>
      </c>
      <c r="G118" s="116">
        <f>1224000+5181+143272-143272+100000+25000+300000</f>
        <v>1654181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113">
        <v>0</v>
      </c>
      <c r="N118" s="113">
        <v>0</v>
      </c>
      <c r="O118" s="113">
        <v>0</v>
      </c>
      <c r="P118" s="113">
        <v>0</v>
      </c>
      <c r="Q118" s="45">
        <f>F118+K118</f>
        <v>1654181</v>
      </c>
    </row>
    <row r="119" spans="1:18" ht="33.75">
      <c r="A119" s="18"/>
      <c r="B119" s="57" t="s">
        <v>207</v>
      </c>
      <c r="C119" s="20">
        <v>9800</v>
      </c>
      <c r="D119" s="20" t="s">
        <v>32</v>
      </c>
      <c r="E119" s="95" t="s">
        <v>208</v>
      </c>
      <c r="F119" s="43">
        <f>G119</f>
        <v>242150</v>
      </c>
      <c r="G119" s="71">
        <f>80000+22150+30000+50000+30000+30000</f>
        <v>242150</v>
      </c>
      <c r="H119" s="34">
        <v>0</v>
      </c>
      <c r="I119" s="34">
        <v>0</v>
      </c>
      <c r="J119" s="34">
        <v>0</v>
      </c>
      <c r="K119" s="34">
        <f>L119</f>
        <v>122150</v>
      </c>
      <c r="L119" s="117">
        <f>30000+22150+70000</f>
        <v>122150</v>
      </c>
      <c r="M119" s="113">
        <v>0</v>
      </c>
      <c r="N119" s="113">
        <v>0</v>
      </c>
      <c r="O119" s="113">
        <v>0</v>
      </c>
      <c r="P119" s="113">
        <f>L119</f>
        <v>122150</v>
      </c>
      <c r="Q119" s="43">
        <f>F119+K119</f>
        <v>364300</v>
      </c>
    </row>
    <row r="120" spans="1:18" ht="101.25">
      <c r="A120" s="18"/>
      <c r="B120" s="57" t="s">
        <v>209</v>
      </c>
      <c r="C120" s="20">
        <v>9820</v>
      </c>
      <c r="D120" s="20" t="s">
        <v>32</v>
      </c>
      <c r="E120" s="118" t="s">
        <v>210</v>
      </c>
      <c r="F120" s="34">
        <f>G120</f>
        <v>100000</v>
      </c>
      <c r="G120" s="35">
        <v>100000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f>L120</f>
        <v>0</v>
      </c>
      <c r="Q120" s="43">
        <f>F120+K120</f>
        <v>100000</v>
      </c>
    </row>
    <row r="121" spans="1:18">
      <c r="A121" s="90"/>
      <c r="B121" s="28"/>
      <c r="C121" s="28"/>
      <c r="D121" s="28"/>
      <c r="E121" s="119" t="s">
        <v>211</v>
      </c>
      <c r="F121" s="30">
        <f t="shared" ref="F121:Q121" si="40">F107+F12</f>
        <v>81405902</v>
      </c>
      <c r="G121" s="73">
        <f t="shared" si="40"/>
        <v>80505902</v>
      </c>
      <c r="H121" s="73">
        <f t="shared" si="40"/>
        <v>49801067</v>
      </c>
      <c r="I121" s="73">
        <f t="shared" si="40"/>
        <v>7408652</v>
      </c>
      <c r="J121" s="73">
        <f t="shared" si="40"/>
        <v>0</v>
      </c>
      <c r="K121" s="73">
        <f t="shared" si="40"/>
        <v>3187569</v>
      </c>
      <c r="L121" s="73">
        <f t="shared" si="40"/>
        <v>2013569</v>
      </c>
      <c r="M121" s="73">
        <f t="shared" si="40"/>
        <v>1174000</v>
      </c>
      <c r="N121" s="73">
        <f t="shared" si="40"/>
        <v>10000</v>
      </c>
      <c r="O121" s="73">
        <f t="shared" si="40"/>
        <v>0</v>
      </c>
      <c r="P121" s="73">
        <f t="shared" si="40"/>
        <v>2013569</v>
      </c>
      <c r="Q121" s="73">
        <f t="shared" si="40"/>
        <v>84593471</v>
      </c>
      <c r="R121" s="31"/>
    </row>
    <row r="122" spans="1:18" ht="56.25" customHeight="1">
      <c r="A122" s="120"/>
      <c r="B122" s="121"/>
      <c r="C122" s="120"/>
      <c r="D122" s="121"/>
      <c r="E122" s="122" t="s">
        <v>212</v>
      </c>
      <c r="F122" s="120"/>
      <c r="G122" s="120"/>
      <c r="H122" s="120"/>
      <c r="I122" s="120" t="s">
        <v>213</v>
      </c>
      <c r="J122" s="120"/>
      <c r="L122" s="120"/>
      <c r="M122" s="120"/>
      <c r="N122" s="120"/>
      <c r="O122" s="120"/>
      <c r="P122" s="120"/>
      <c r="Q122" s="120"/>
    </row>
    <row r="123" spans="1:18">
      <c r="G123" s="31">
        <f>F121-G121</f>
        <v>900000</v>
      </c>
      <c r="H123" s="1" t="s">
        <v>214</v>
      </c>
    </row>
    <row r="124" spans="1:18">
      <c r="F124" s="123"/>
      <c r="L124" s="145"/>
      <c r="M124" s="145"/>
      <c r="O124" s="146"/>
      <c r="P124" s="146"/>
    </row>
    <row r="125" spans="1:18">
      <c r="F125" s="31"/>
      <c r="H125" s="1" t="s">
        <v>215</v>
      </c>
      <c r="J125" s="1" t="s">
        <v>216</v>
      </c>
      <c r="K125" s="31"/>
      <c r="M125" s="123"/>
    </row>
    <row r="126" spans="1:18">
      <c r="G126" s="147">
        <f>G127-F121</f>
        <v>-4878980</v>
      </c>
      <c r="H126" s="147"/>
      <c r="J126" s="148">
        <f>I127-K121</f>
        <v>-2059569</v>
      </c>
      <c r="K126" s="148"/>
      <c r="M126" s="1" t="s">
        <v>217</v>
      </c>
    </row>
    <row r="127" spans="1:18">
      <c r="F127" s="149" t="s">
        <v>218</v>
      </c>
      <c r="G127" s="124">
        <f>75724359+200000+2163+400+600000</f>
        <v>76526922</v>
      </c>
      <c r="I127" s="125">
        <v>1128000</v>
      </c>
      <c r="M127" s="123">
        <f>F106/F121*100</f>
        <v>1.1055709449666191</v>
      </c>
    </row>
    <row r="128" spans="1:18">
      <c r="F128" s="149"/>
      <c r="K128" s="1" t="s">
        <v>219</v>
      </c>
    </row>
    <row r="129" spans="6:11">
      <c r="F129" s="149"/>
      <c r="G129" s="126">
        <f>G127+I127</f>
        <v>77654922</v>
      </c>
      <c r="K129" s="123">
        <f>200000/F121*100</f>
        <v>0.24568243221480429</v>
      </c>
    </row>
    <row r="130" spans="6:11">
      <c r="F130" s="127"/>
      <c r="G130" s="128"/>
    </row>
    <row r="131" spans="6:11" ht="15" customHeight="1">
      <c r="F131" s="144" t="s">
        <v>220</v>
      </c>
      <c r="G131" s="129">
        <f>G129-Q121</f>
        <v>-6938549</v>
      </c>
    </row>
    <row r="132" spans="6:11" s="1" customFormat="1">
      <c r="F132" s="144"/>
      <c r="G132" s="130"/>
    </row>
  </sheetData>
  <mergeCells count="92">
    <mergeCell ref="F131:F132"/>
    <mergeCell ref="L124:M124"/>
    <mergeCell ref="O124:P124"/>
    <mergeCell ref="G126:H126"/>
    <mergeCell ref="J126:K126"/>
    <mergeCell ref="F127:F129"/>
    <mergeCell ref="K111:P111"/>
    <mergeCell ref="Q111:Q113"/>
    <mergeCell ref="F112:F113"/>
    <mergeCell ref="G112:G113"/>
    <mergeCell ref="H112:I112"/>
    <mergeCell ref="J112:J113"/>
    <mergeCell ref="K112:K113"/>
    <mergeCell ref="L112:L113"/>
    <mergeCell ref="M112:M113"/>
    <mergeCell ref="N112:O112"/>
    <mergeCell ref="P112:P113"/>
    <mergeCell ref="B111:B113"/>
    <mergeCell ref="C111:C113"/>
    <mergeCell ref="D111:D113"/>
    <mergeCell ref="E111:E113"/>
    <mergeCell ref="F111:J111"/>
    <mergeCell ref="K79:P79"/>
    <mergeCell ref="Q79:Q81"/>
    <mergeCell ref="F80:F81"/>
    <mergeCell ref="G80:G81"/>
    <mergeCell ref="H80:I80"/>
    <mergeCell ref="J80:J81"/>
    <mergeCell ref="K80:K81"/>
    <mergeCell ref="L80:L81"/>
    <mergeCell ref="M80:M81"/>
    <mergeCell ref="N80:O80"/>
    <mergeCell ref="P80:P81"/>
    <mergeCell ref="B79:B81"/>
    <mergeCell ref="C79:C81"/>
    <mergeCell ref="D79:D81"/>
    <mergeCell ref="E79:E81"/>
    <mergeCell ref="F79:J79"/>
    <mergeCell ref="K52:P52"/>
    <mergeCell ref="Q52:Q54"/>
    <mergeCell ref="F53:F54"/>
    <mergeCell ref="G53:G54"/>
    <mergeCell ref="H53:I53"/>
    <mergeCell ref="J53:J54"/>
    <mergeCell ref="K53:K54"/>
    <mergeCell ref="L53:L54"/>
    <mergeCell ref="M53:M54"/>
    <mergeCell ref="N53:O53"/>
    <mergeCell ref="P53:P54"/>
    <mergeCell ref="B52:B54"/>
    <mergeCell ref="C52:C54"/>
    <mergeCell ref="D52:D54"/>
    <mergeCell ref="E52:E54"/>
    <mergeCell ref="F52:J52"/>
    <mergeCell ref="K26:P26"/>
    <mergeCell ref="Q26:Q28"/>
    <mergeCell ref="F27:F28"/>
    <mergeCell ref="G27:G28"/>
    <mergeCell ref="H27:I27"/>
    <mergeCell ref="J27:J28"/>
    <mergeCell ref="K27:K28"/>
    <mergeCell ref="L27:L28"/>
    <mergeCell ref="M27:M28"/>
    <mergeCell ref="N27:O27"/>
    <mergeCell ref="P27:P28"/>
    <mergeCell ref="B26:B28"/>
    <mergeCell ref="C26:C28"/>
    <mergeCell ref="D26:D28"/>
    <mergeCell ref="E26:E28"/>
    <mergeCell ref="F26:J26"/>
    <mergeCell ref="F8:J8"/>
    <mergeCell ref="K8:P8"/>
    <mergeCell ref="Q8:Q10"/>
    <mergeCell ref="F9:F10"/>
    <mergeCell ref="G9:G10"/>
    <mergeCell ref="H9:I9"/>
    <mergeCell ref="J9:J10"/>
    <mergeCell ref="K9:K10"/>
    <mergeCell ref="L9:L10"/>
    <mergeCell ref="M9:M10"/>
    <mergeCell ref="N9:O9"/>
    <mergeCell ref="P9:P10"/>
    <mergeCell ref="B7:C7"/>
    <mergeCell ref="B8:B10"/>
    <mergeCell ref="C8:C10"/>
    <mergeCell ref="D8:D10"/>
    <mergeCell ref="E8:E10"/>
    <mergeCell ref="L2:Q2"/>
    <mergeCell ref="L3:Q3"/>
    <mergeCell ref="L4:Q4"/>
    <mergeCell ref="B5:Q5"/>
    <mergeCell ref="B6:C6"/>
  </mergeCells>
  <pageMargins left="0.7" right="0.7" top="0.75" bottom="0.75" header="0.51180555555555496" footer="0.51180555555555496"/>
  <pageSetup paperSize="9" scale="60" firstPageNumber="0" orientation="landscape" horizontalDpi="300" verticalDpi="300" r:id="rId1"/>
  <rowBreaks count="4" manualBreakCount="4">
    <brk id="25" max="16383" man="1"/>
    <brk id="51" max="16383" man="1"/>
    <brk id="78" max="16383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100" zoomScalePageLayoutView="75" workbookViewId="0"/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Silenko Olga</cp:lastModifiedBy>
  <cp:revision>1</cp:revision>
  <cp:lastPrinted>2022-11-29T11:13:25Z</cp:lastPrinted>
  <dcterms:created xsi:type="dcterms:W3CDTF">2006-09-16T00:00:00Z</dcterms:created>
  <dcterms:modified xsi:type="dcterms:W3CDTF">2022-11-29T11:13:27Z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