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10" yWindow="1905" windowWidth="13650" windowHeight="7620" tabRatio="604"/>
  </bookViews>
  <sheets>
    <sheet name="(січень)" sheetId="39" r:id="rId1"/>
    <sheet name="Лист1" sheetId="26" r:id="rId2"/>
  </sheets>
  <calcPr calcId="145621"/>
</workbook>
</file>

<file path=xl/calcChain.xml><?xml version="1.0" encoding="utf-8"?>
<calcChain xmlns="http://schemas.openxmlformats.org/spreadsheetml/2006/main">
  <c r="Z26" i="39" l="1"/>
  <c r="Z25" i="39"/>
  <c r="Z24" i="39"/>
  <c r="Z23" i="39"/>
  <c r="Z22" i="39"/>
  <c r="Z21" i="39"/>
  <c r="Z20" i="39"/>
  <c r="Z19" i="39"/>
  <c r="Z18" i="39"/>
  <c r="Z17" i="39"/>
  <c r="Z16" i="39"/>
  <c r="Z15" i="39"/>
  <c r="Z27" i="39"/>
  <c r="Y27" i="39"/>
  <c r="X27" i="39"/>
  <c r="Y26" i="39"/>
  <c r="Y25" i="39"/>
  <c r="Y24" i="39"/>
  <c r="Y23" i="39"/>
  <c r="Y22" i="39"/>
  <c r="Y21" i="39"/>
  <c r="Y20" i="39"/>
  <c r="Y19" i="39"/>
  <c r="Y18" i="39"/>
  <c r="Y17" i="39"/>
  <c r="Y16" i="39"/>
  <c r="Y15" i="39"/>
  <c r="X24" i="39"/>
  <c r="X23" i="39"/>
  <c r="X22" i="39"/>
  <c r="X21" i="39"/>
  <c r="X20" i="39"/>
  <c r="X19" i="39"/>
  <c r="X18" i="39"/>
  <c r="X17" i="39"/>
  <c r="X16" i="39"/>
  <c r="X15" i="39"/>
  <c r="Z48" i="39" l="1"/>
  <c r="Z43" i="39"/>
  <c r="Z42" i="39"/>
  <c r="Z41" i="39"/>
  <c r="Z40" i="39"/>
  <c r="Z39" i="39"/>
  <c r="Z38" i="39"/>
  <c r="Z37" i="39"/>
  <c r="Z36" i="39"/>
  <c r="Z35" i="39"/>
  <c r="Z34" i="39"/>
  <c r="Z33" i="39"/>
  <c r="Z32" i="39"/>
  <c r="Z31" i="39"/>
  <c r="Z30" i="39"/>
  <c r="Z29" i="39"/>
  <c r="Z28" i="39"/>
  <c r="Z47" i="39" l="1"/>
  <c r="Z46" i="39"/>
  <c r="Q48" i="39"/>
  <c r="O48" i="39"/>
  <c r="N48" i="39"/>
  <c r="Y48" i="39" l="1"/>
  <c r="X48" i="39"/>
  <c r="W48" i="39"/>
  <c r="V48" i="39"/>
  <c r="U48" i="39"/>
  <c r="K48" i="39" l="1"/>
  <c r="I48" i="39" l="1"/>
  <c r="U27" i="39" l="1"/>
  <c r="W27" i="39"/>
  <c r="I38" i="39" l="1"/>
  <c r="Y43" i="39" l="1"/>
  <c r="X43" i="39"/>
  <c r="W43" i="39"/>
  <c r="U28" i="39" l="1"/>
  <c r="W28" i="39" l="1"/>
  <c r="V42" i="39" l="1"/>
  <c r="V41" i="39"/>
  <c r="V40" i="39"/>
  <c r="V39" i="39"/>
  <c r="V38" i="39"/>
  <c r="V37" i="39"/>
  <c r="V36" i="39"/>
  <c r="V35" i="39"/>
  <c r="V34" i="39"/>
  <c r="V33" i="39"/>
  <c r="V32" i="39"/>
  <c r="V31" i="39"/>
  <c r="V30" i="39"/>
  <c r="V29" i="39"/>
  <c r="D43" i="39" l="1"/>
  <c r="I42" i="39"/>
  <c r="U42" i="39" s="1"/>
  <c r="Q41" i="39"/>
  <c r="U41" i="39" s="1"/>
  <c r="W41" i="39" s="1"/>
  <c r="I41" i="39"/>
  <c r="I40" i="39"/>
  <c r="K39" i="39"/>
  <c r="U39" i="39" s="1"/>
  <c r="W39" i="39" s="1"/>
  <c r="I39" i="39"/>
  <c r="K38" i="39"/>
  <c r="K37" i="39"/>
  <c r="I37" i="39"/>
  <c r="U36" i="39"/>
  <c r="W36" i="39" s="1"/>
  <c r="I36" i="39"/>
  <c r="U35" i="39"/>
  <c r="W35" i="39" s="1"/>
  <c r="I35" i="39"/>
  <c r="I34" i="39"/>
  <c r="K33" i="39"/>
  <c r="U33" i="39" s="1"/>
  <c r="W33" i="39" s="1"/>
  <c r="I33" i="39"/>
  <c r="I32" i="39"/>
  <c r="K31" i="39"/>
  <c r="I31" i="39"/>
  <c r="U31" i="39" s="1"/>
  <c r="W31" i="39" s="1"/>
  <c r="I30" i="39"/>
  <c r="I29" i="39"/>
  <c r="U29" i="39" s="1"/>
  <c r="I28" i="39"/>
  <c r="I43" i="39" s="1"/>
  <c r="T27" i="39"/>
  <c r="G27" i="39"/>
  <c r="G48" i="39" s="1"/>
  <c r="D27" i="39"/>
  <c r="D48" i="39" s="1"/>
  <c r="R7" i="39" s="1"/>
  <c r="S26" i="39"/>
  <c r="K26" i="39"/>
  <c r="I26" i="39"/>
  <c r="N26" i="39" s="1"/>
  <c r="S25" i="39"/>
  <c r="K25" i="39"/>
  <c r="K27" i="39" s="1"/>
  <c r="I25" i="39"/>
  <c r="N25" i="39" s="1"/>
  <c r="S24" i="39"/>
  <c r="U24" i="39" s="1"/>
  <c r="W24" i="39" s="1"/>
  <c r="L24" i="39"/>
  <c r="I24" i="39"/>
  <c r="N24" i="39" s="1"/>
  <c r="I23" i="39"/>
  <c r="L23" i="39" s="1"/>
  <c r="I22" i="39"/>
  <c r="S22" i="39" s="1"/>
  <c r="L21" i="39"/>
  <c r="I21" i="39"/>
  <c r="N21" i="39" s="1"/>
  <c r="U21" i="39" s="1"/>
  <c r="W21" i="39" s="1"/>
  <c r="N20" i="39"/>
  <c r="U20" i="39" s="1"/>
  <c r="W20" i="39" s="1"/>
  <c r="L20" i="39"/>
  <c r="S19" i="39"/>
  <c r="L19" i="39"/>
  <c r="I19" i="39"/>
  <c r="N19" i="39" s="1"/>
  <c r="I18" i="39"/>
  <c r="L18" i="39" s="1"/>
  <c r="I17" i="39"/>
  <c r="S17" i="39" s="1"/>
  <c r="I16" i="39"/>
  <c r="S16" i="39" s="1"/>
  <c r="I15" i="39"/>
  <c r="S15" i="39" s="1"/>
  <c r="H15" i="39"/>
  <c r="H27" i="39" s="1"/>
  <c r="H48" i="39" s="1"/>
  <c r="U26" i="39" l="1"/>
  <c r="W26" i="39" s="1"/>
  <c r="S27" i="39"/>
  <c r="S48" i="39" s="1"/>
  <c r="U19" i="39"/>
  <c r="W19" i="39" s="1"/>
  <c r="U25" i="39"/>
  <c r="W25" i="39" s="1"/>
  <c r="W29" i="39"/>
  <c r="N22" i="39"/>
  <c r="U22" i="39" s="1"/>
  <c r="W22" i="39" s="1"/>
  <c r="N23" i="39"/>
  <c r="U23" i="39" s="1"/>
  <c r="W23" i="39" s="1"/>
  <c r="I27" i="39"/>
  <c r="W42" i="39"/>
  <c r="N15" i="39"/>
  <c r="N16" i="39"/>
  <c r="U16" i="39" s="1"/>
  <c r="W16" i="39" s="1"/>
  <c r="N17" i="39"/>
  <c r="U17" i="39" s="1"/>
  <c r="W17" i="39" s="1"/>
  <c r="N18" i="39"/>
  <c r="U18" i="39" s="1"/>
  <c r="W18" i="39" s="1"/>
  <c r="L15" i="39"/>
  <c r="L16" i="39"/>
  <c r="L17" i="39"/>
  <c r="L22" i="39"/>
  <c r="N28" i="39"/>
  <c r="N43" i="39" s="1"/>
  <c r="O30" i="39"/>
  <c r="O43" i="39" s="1"/>
  <c r="K32" i="39"/>
  <c r="U32" i="39" s="1"/>
  <c r="W32" i="39" s="1"/>
  <c r="K34" i="39"/>
  <c r="U34" i="39" s="1"/>
  <c r="W34" i="39" s="1"/>
  <c r="Q37" i="39"/>
  <c r="Q38" i="39"/>
  <c r="U38" i="39" s="1"/>
  <c r="W38" i="39" s="1"/>
  <c r="K40" i="39"/>
  <c r="U40" i="39" s="1"/>
  <c r="W40" i="39" s="1"/>
  <c r="U30" i="39" l="1"/>
  <c r="K43" i="39"/>
  <c r="Q43" i="39"/>
  <c r="U37" i="39"/>
  <c r="W37" i="39" s="1"/>
  <c r="L27" i="39"/>
  <c r="L48" i="39" s="1"/>
  <c r="N27" i="39"/>
  <c r="U15" i="39"/>
  <c r="V43" i="39"/>
  <c r="W15" i="39" l="1"/>
  <c r="U43" i="39"/>
  <c r="W30" i="39"/>
  <c r="U8" i="39" s="1"/>
</calcChain>
</file>

<file path=xl/comments1.xml><?xml version="1.0" encoding="utf-8"?>
<comments xmlns="http://schemas.openxmlformats.org/spreadsheetml/2006/main">
  <authors>
    <author>podolinna</author>
  </authors>
  <commentList>
    <comment ref="P37" authorId="0">
      <text>
        <r>
          <rPr>
            <b/>
            <sz val="9"/>
            <color indexed="81"/>
            <rFont val="Tahoma"/>
            <family val="2"/>
            <charset val="204"/>
          </rPr>
          <t>podolinna:</t>
        </r>
        <r>
          <rPr>
            <sz val="9"/>
            <color indexed="81"/>
            <rFont val="Tahoma"/>
            <family val="2"/>
            <charset val="204"/>
          </rPr>
          <t xml:space="preserve">
ст.108 КзПП</t>
        </r>
      </text>
    </comment>
  </commentList>
</comments>
</file>

<file path=xl/sharedStrings.xml><?xml version="1.0" encoding="utf-8"?>
<sst xmlns="http://schemas.openxmlformats.org/spreadsheetml/2006/main" count="99" uniqueCount="93">
  <si>
    <t>ЗАТВЕРДЖЕНО:</t>
  </si>
  <si>
    <t xml:space="preserve"> ДОШКІЛЬНОГО  НАВЧАЛЬНОГО  ЗАКЛАДУ</t>
  </si>
  <si>
    <t>ЗАТВЕРДЖУЮ:</t>
  </si>
  <si>
    <t>штатних одиниць</t>
  </si>
  <si>
    <t>Сільський голова</t>
  </si>
  <si>
    <t>Кількість груп:</t>
  </si>
  <si>
    <t>в т.ч. ясельних:</t>
  </si>
  <si>
    <t>з 10,5 годинним перебуванням дітей</t>
  </si>
  <si>
    <t>Назва  структурного підрозділу  та посад</t>
  </si>
  <si>
    <t>К-сть штатниходиниць</t>
  </si>
  <si>
    <t>Розряд</t>
  </si>
  <si>
    <t>Посадовий оклад</t>
  </si>
  <si>
    <t>Доплата за звання</t>
  </si>
  <si>
    <t>Ставка на посадов.оклад</t>
  </si>
  <si>
    <t>НАДБАВКИ (грн.)</t>
  </si>
  <si>
    <t xml:space="preserve">           ДОПЛАТИ (грн. )</t>
  </si>
  <si>
    <t>Фонд  заробітної плати  на  місяць (грн.)</t>
  </si>
  <si>
    <t>№</t>
  </si>
  <si>
    <t>% надбавки</t>
  </si>
  <si>
    <t>За роботу в нічний час</t>
  </si>
  <si>
    <t>За вислугу років</t>
  </si>
  <si>
    <t>грн.</t>
  </si>
  <si>
    <t>%</t>
  </si>
  <si>
    <t xml:space="preserve">                                               всього</t>
  </si>
  <si>
    <t xml:space="preserve">  ВСЬОГО:</t>
  </si>
  <si>
    <t>код</t>
  </si>
  <si>
    <t>КП</t>
  </si>
  <si>
    <t>Керівник музичний</t>
  </si>
  <si>
    <t>2445.2</t>
  </si>
  <si>
    <t>Практичний психолог</t>
  </si>
  <si>
    <t>2351.2</t>
  </si>
  <si>
    <t xml:space="preserve">Вихователь - методист </t>
  </si>
  <si>
    <t>Інструктор з фізкультури</t>
  </si>
  <si>
    <t xml:space="preserve">Сестра медична </t>
  </si>
  <si>
    <t>всього</t>
  </si>
  <si>
    <t>Кухар 3 р</t>
  </si>
  <si>
    <t>Кухар 5 р</t>
  </si>
  <si>
    <t>Сторож</t>
  </si>
  <si>
    <t>Двірник</t>
  </si>
  <si>
    <t>Комірник</t>
  </si>
  <si>
    <t>3/п</t>
  </si>
  <si>
    <t>Завідувач господарства</t>
  </si>
  <si>
    <t>Підсобний робітник</t>
  </si>
  <si>
    <t>Діловод</t>
  </si>
  <si>
    <t>1229.4</t>
  </si>
  <si>
    <t>Завідувач дошкільного навчального закладу</t>
  </si>
  <si>
    <t xml:space="preserve"> за 180 дітей</t>
  </si>
  <si>
    <t>ЧЕРКАСЬКОГО РАЙОНУ ЧЕРКАСЬКОЇ ОБЛАСТІ</t>
  </si>
  <si>
    <t xml:space="preserve">БІЛОЗІРСЬКОЇ СІЛЬСЬКОЇ  РАДИ </t>
  </si>
  <si>
    <t>Постанова №373 від 23.01.11</t>
  </si>
  <si>
    <t>"ЧЕРВОНА ШАПОЧКА"  с. БІЛОЗІР'Я</t>
  </si>
  <si>
    <t xml:space="preserve">Завідувач                                                    </t>
  </si>
  <si>
    <t>Наказ Міністерства фінансів України</t>
  </si>
  <si>
    <t>28.01.2002 року</t>
  </si>
  <si>
    <t>складність, напруженість, інтенсивність</t>
  </si>
  <si>
    <t>(ЯСЛА-САДОК) ЗАГАЛЬНОГО ТИПУ РОЗВИТКУ</t>
  </si>
  <si>
    <t xml:space="preserve">з місячним фондом заробітної плати </t>
  </si>
  <si>
    <t>штат у кількості</t>
  </si>
  <si>
    <t>Доплата до мінімальної ЗП (грн)</t>
  </si>
  <si>
    <t>10%-30%</t>
  </si>
  <si>
    <t>Прибиральник службових приміщень</t>
  </si>
  <si>
    <t>Вихователь дошкільного навчального закладу</t>
  </si>
  <si>
    <t>2455.2</t>
  </si>
  <si>
    <t>Машиніст (кочегар) котельні (сезонний)</t>
  </si>
  <si>
    <t xml:space="preserve">Помічник вихователя </t>
  </si>
  <si>
    <t>Керівник гуртка</t>
  </si>
  <si>
    <t>10%-20%</t>
  </si>
  <si>
    <r>
      <t>12</t>
    </r>
    <r>
      <rPr>
        <sz val="10"/>
        <rFont val="Times New Roman"/>
        <family val="1"/>
        <charset val="204"/>
      </rPr>
      <t>2</t>
    </r>
    <r>
      <rPr>
        <sz val="10"/>
        <rFont val="Times New Roman"/>
        <family val="1"/>
      </rPr>
      <t>9.6</t>
    </r>
  </si>
  <si>
    <t xml:space="preserve"> </t>
  </si>
  <si>
    <t>Машиніст (кочегар) котельні (річний)</t>
  </si>
  <si>
    <t>Слюсар-електромонтажник</t>
  </si>
  <si>
    <t>Машиніст із прання та ремонту спецодягу</t>
  </si>
  <si>
    <t>Робітник з комплексного обслуговування й ремонту будинків</t>
  </si>
  <si>
    <t>Фонд  заробітної плати  на  місяць  з допл. до мінімал. (грн.)</t>
  </si>
  <si>
    <t>Економіст</t>
  </si>
  <si>
    <t>20%-30%</t>
  </si>
  <si>
    <t>за ведення військового обліку 20%</t>
  </si>
  <si>
    <t>шкідливість; постанова КМУ №67 від 03.02.2020 р. про допл. мед. праців.</t>
  </si>
  <si>
    <t>Вихователь</t>
  </si>
  <si>
    <t>Світлана ЗАГРАНІЧНА</t>
  </si>
  <si>
    <t>Любов ЩУР</t>
  </si>
  <si>
    <t>Наталія ПОДОЛІННА</t>
  </si>
  <si>
    <t xml:space="preserve">Володимир Міцук </t>
  </si>
  <si>
    <t xml:space="preserve"> ШТАТНИЙ  РОЗПИС  на  01 січня  2023 року</t>
  </si>
  <si>
    <t>Грошова винагорода (грн.)</t>
  </si>
  <si>
    <t>Матеріальна допомога на оздоровлення (грн.)</t>
  </si>
  <si>
    <t>Фонд заробітної плати на рік (грн.)</t>
  </si>
  <si>
    <t xml:space="preserve">Святкові </t>
  </si>
  <si>
    <t>Заміна</t>
  </si>
  <si>
    <t xml:space="preserve">Премія </t>
  </si>
  <si>
    <t>Підвищення заробітної плати</t>
  </si>
  <si>
    <t>ДОДАТОК 1</t>
  </si>
  <si>
    <t>Рішення сесії №45-42/VIII від 22.12.2022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</si>
</sst>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&quot;р.&quot;;\-#,##0&quot;р.&quot;"/>
    <numFmt numFmtId="6" formatCode="#,##0&quot;р.&quot;;[Red]\-#,##0&quot;р.&quot;"/>
    <numFmt numFmtId="164" formatCode="#,##0\ &quot;грн.&quot;;[Red]\-#,##0\ &quot;грн.&quot;"/>
    <numFmt numFmtId="165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ill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5" fontId="12" fillId="2" borderId="6" xfId="0" applyNumberFormat="1" applyFont="1" applyFill="1" applyBorder="1" applyAlignment="1">
      <alignment horizontal="left" vertical="center" wrapText="1"/>
    </xf>
    <xf numFmtId="0" fontId="0" fillId="2" borderId="0" xfId="0" applyFill="1"/>
    <xf numFmtId="9" fontId="1" fillId="2" borderId="6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6" fontId="4" fillId="2" borderId="6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0" fillId="2" borderId="0" xfId="0" applyNumberFormat="1" applyFill="1"/>
    <xf numFmtId="2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wrapText="1"/>
    </xf>
    <xf numFmtId="9" fontId="1" fillId="2" borderId="7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>
      <alignment horizontal="center"/>
    </xf>
    <xf numFmtId="9" fontId="1" fillId="2" borderId="4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6" fontId="3" fillId="2" borderId="10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center"/>
    </xf>
    <xf numFmtId="9" fontId="2" fillId="2" borderId="10" xfId="0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right" wrapText="1"/>
    </xf>
    <xf numFmtId="2" fontId="14" fillId="2" borderId="10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0" fontId="0" fillId="2" borderId="0" xfId="0" applyFont="1" applyFill="1"/>
    <xf numFmtId="165" fontId="1" fillId="2" borderId="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8" fillId="2" borderId="0" xfId="0" applyFont="1" applyFill="1"/>
    <xf numFmtId="0" fontId="1" fillId="2" borderId="0" xfId="0" applyFont="1" applyFill="1" applyBorder="1" applyAlignment="1">
      <alignment horizontal="center"/>
    </xf>
    <xf numFmtId="2" fontId="15" fillId="2" borderId="0" xfId="0" applyNumberFormat="1" applyFont="1" applyFill="1" applyAlignment="1">
      <alignment horizontal="left"/>
    </xf>
    <xf numFmtId="6" fontId="4" fillId="2" borderId="2" xfId="0" applyNumberFormat="1" applyFont="1" applyFill="1" applyBorder="1" applyAlignment="1">
      <alignment wrapText="1"/>
    </xf>
    <xf numFmtId="2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2" fontId="17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2" fontId="0" fillId="2" borderId="6" xfId="0" applyNumberForma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2" fontId="0" fillId="2" borderId="25" xfId="0" applyNumberFormat="1" applyFill="1" applyBorder="1"/>
    <xf numFmtId="0" fontId="2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2" fontId="14" fillId="2" borderId="28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1" fontId="6" fillId="2" borderId="28" xfId="0" applyNumberFormat="1" applyFont="1" applyFill="1" applyBorder="1" applyAlignment="1">
      <alignment horizontal="center"/>
    </xf>
    <xf numFmtId="49" fontId="14" fillId="2" borderId="28" xfId="0" applyNumberFormat="1" applyFont="1" applyFill="1" applyBorder="1" applyAlignment="1">
      <alignment horizontal="center"/>
    </xf>
    <xf numFmtId="2" fontId="0" fillId="2" borderId="2" xfId="0" applyNumberFormat="1" applyFill="1" applyBorder="1"/>
    <xf numFmtId="2" fontId="0" fillId="2" borderId="4" xfId="0" applyNumberFormat="1" applyFill="1" applyBorder="1"/>
    <xf numFmtId="2" fontId="0" fillId="2" borderId="23" xfId="0" applyNumberFormat="1" applyFill="1" applyBorder="1"/>
    <xf numFmtId="2" fontId="0" fillId="2" borderId="28" xfId="0" applyNumberFormat="1" applyFill="1" applyBorder="1"/>
    <xf numFmtId="0" fontId="16" fillId="2" borderId="28" xfId="0" applyFont="1" applyFill="1" applyBorder="1" applyAlignment="1">
      <alignment horizontal="left" wrapText="1"/>
    </xf>
    <xf numFmtId="2" fontId="15" fillId="2" borderId="29" xfId="0" applyNumberFormat="1" applyFont="1" applyFill="1" applyBorder="1"/>
    <xf numFmtId="0" fontId="2" fillId="2" borderId="17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15" fillId="2" borderId="0" xfId="0" applyFont="1" applyFill="1"/>
    <xf numFmtId="0" fontId="2" fillId="2" borderId="0" xfId="0" applyFont="1" applyFill="1" applyAlignment="1">
      <alignment horizontal="left"/>
    </xf>
    <xf numFmtId="2" fontId="15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22" fillId="2" borderId="0" xfId="0" applyFont="1" applyFill="1" applyAlignment="1">
      <alignment horizontal="left"/>
    </xf>
    <xf numFmtId="0" fontId="0" fillId="2" borderId="3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69"/>
  <sheetViews>
    <sheetView tabSelected="1" zoomScale="80" zoomScaleNormal="80" workbookViewId="0">
      <selection activeCell="Y16" sqref="Y16"/>
    </sheetView>
  </sheetViews>
  <sheetFormatPr defaultRowHeight="12.75" x14ac:dyDescent="0.2"/>
  <cols>
    <col min="1" max="1" width="4.42578125" style="5" customWidth="1"/>
    <col min="2" max="2" width="7.28515625" style="5" customWidth="1"/>
    <col min="3" max="3" width="28.7109375" style="5" customWidth="1"/>
    <col min="4" max="4" width="7.5703125" style="5" customWidth="1"/>
    <col min="5" max="5" width="6.28515625" style="5" customWidth="1"/>
    <col min="6" max="6" width="7.42578125" style="5" customWidth="1"/>
    <col min="7" max="7" width="8.7109375" style="5" customWidth="1"/>
    <col min="8" max="8" width="8.5703125" style="5" customWidth="1"/>
    <col min="9" max="9" width="12.42578125" style="5" customWidth="1"/>
    <col min="10" max="10" width="5.7109375" style="5" customWidth="1"/>
    <col min="11" max="11" width="11.7109375" style="5" customWidth="1"/>
    <col min="12" max="12" width="11" style="5" customWidth="1"/>
    <col min="13" max="13" width="12.28515625" style="5" customWidth="1"/>
    <col min="14" max="14" width="13.140625" style="5" customWidth="1"/>
    <col min="15" max="15" width="7.7109375" style="5" customWidth="1"/>
    <col min="16" max="16" width="6.140625" style="5" customWidth="1"/>
    <col min="17" max="17" width="11.42578125" style="5" customWidth="1"/>
    <col min="18" max="18" width="8.7109375" style="5" customWidth="1"/>
    <col min="19" max="19" width="11.140625" style="5" customWidth="1"/>
    <col min="20" max="20" width="8.5703125" style="5" hidden="1" customWidth="1"/>
    <col min="21" max="21" width="14.85546875" style="5" customWidth="1"/>
    <col min="22" max="22" width="11.7109375" style="5" customWidth="1"/>
    <col min="23" max="23" width="12.140625" style="5" customWidth="1"/>
    <col min="24" max="24" width="11.28515625" style="5" customWidth="1"/>
    <col min="25" max="26" width="11.42578125" style="5" customWidth="1"/>
  </cols>
  <sheetData>
    <row r="1" spans="1:26" x14ac:dyDescent="0.2">
      <c r="Z1" s="5" t="s">
        <v>91</v>
      </c>
    </row>
    <row r="2" spans="1:26" ht="12.75" customHeight="1" x14ac:dyDescent="0.2">
      <c r="C2" s="45"/>
      <c r="D2" s="45"/>
      <c r="E2" s="45"/>
      <c r="F2" s="45"/>
      <c r="G2" s="45"/>
      <c r="H2" s="45"/>
      <c r="I2" s="45"/>
      <c r="J2" s="66"/>
      <c r="K2" s="45"/>
      <c r="L2" s="45"/>
      <c r="M2" s="45"/>
      <c r="N2" s="45"/>
      <c r="O2" s="45"/>
      <c r="P2" s="128" t="s">
        <v>0</v>
      </c>
      <c r="Q2" s="128"/>
      <c r="R2" s="128"/>
      <c r="S2" s="57"/>
      <c r="T2" s="57"/>
      <c r="U2" s="49"/>
      <c r="V2" s="49"/>
      <c r="W2" s="49"/>
    </row>
    <row r="3" spans="1:26" ht="15" x14ac:dyDescent="0.25">
      <c r="C3" s="102" t="s">
        <v>83</v>
      </c>
      <c r="D3" s="103"/>
      <c r="E3" s="45"/>
      <c r="F3" s="45"/>
      <c r="G3" s="45"/>
      <c r="H3" s="45"/>
      <c r="I3" s="104"/>
      <c r="J3" s="72"/>
      <c r="K3" s="58"/>
      <c r="L3" s="58"/>
      <c r="M3" s="58"/>
      <c r="N3" s="58"/>
      <c r="O3" s="58"/>
      <c r="P3" s="59" t="s">
        <v>52</v>
      </c>
      <c r="Q3" s="60"/>
      <c r="R3" s="61"/>
      <c r="S3" s="62"/>
      <c r="T3" s="62"/>
      <c r="U3" s="49"/>
      <c r="V3" s="49"/>
      <c r="W3" s="49"/>
    </row>
    <row r="4" spans="1:26" x14ac:dyDescent="0.2">
      <c r="C4" s="70" t="s">
        <v>1</v>
      </c>
      <c r="D4" s="105"/>
      <c r="E4" s="45"/>
      <c r="F4" s="45"/>
      <c r="G4" s="45"/>
      <c r="H4" s="45"/>
      <c r="I4" s="45"/>
      <c r="J4" s="72"/>
      <c r="K4" s="58"/>
      <c r="L4" s="58"/>
      <c r="M4" s="58"/>
      <c r="N4" s="58"/>
      <c r="O4" s="58"/>
      <c r="P4" s="63" t="s">
        <v>53</v>
      </c>
      <c r="Q4" s="49"/>
      <c r="R4" s="61"/>
      <c r="S4" s="62"/>
      <c r="T4" s="62"/>
      <c r="U4" s="49"/>
      <c r="V4" s="49"/>
      <c r="W4" s="49"/>
    </row>
    <row r="5" spans="1:26" ht="14.25" x14ac:dyDescent="0.2">
      <c r="C5" s="106" t="s">
        <v>55</v>
      </c>
      <c r="E5" s="45"/>
      <c r="F5" s="45"/>
      <c r="G5" s="104"/>
      <c r="H5" s="104"/>
      <c r="I5" s="45"/>
      <c r="J5" s="73"/>
      <c r="K5" s="45"/>
      <c r="L5" s="45"/>
      <c r="M5" s="45"/>
      <c r="N5" s="45"/>
      <c r="O5" s="45"/>
      <c r="P5" s="57"/>
      <c r="Q5" s="57"/>
      <c r="R5" s="57"/>
      <c r="S5" s="57"/>
      <c r="T5" s="57"/>
      <c r="U5" s="49"/>
      <c r="V5" s="49"/>
      <c r="W5" s="49"/>
    </row>
    <row r="6" spans="1:26" ht="15.75" x14ac:dyDescent="0.25">
      <c r="C6" s="70" t="s">
        <v>50</v>
      </c>
      <c r="D6" s="107"/>
      <c r="E6" s="46"/>
      <c r="F6" s="46"/>
      <c r="G6" s="104"/>
      <c r="H6" s="104"/>
      <c r="I6" s="45"/>
      <c r="J6" s="45"/>
      <c r="K6" s="64"/>
      <c r="L6" s="64"/>
      <c r="M6" s="64"/>
      <c r="N6" s="64"/>
      <c r="O6" s="64"/>
      <c r="P6" s="57"/>
      <c r="Q6" s="65" t="s">
        <v>2</v>
      </c>
      <c r="R6" s="60"/>
      <c r="S6" s="57"/>
      <c r="T6" s="57"/>
      <c r="U6" s="49"/>
      <c r="V6" s="49"/>
      <c r="W6" s="49"/>
    </row>
    <row r="7" spans="1:26" s="1" customFormat="1" x14ac:dyDescent="0.2">
      <c r="A7" s="5"/>
      <c r="B7" s="5"/>
      <c r="C7" s="106" t="s">
        <v>48</v>
      </c>
      <c r="D7" s="46"/>
      <c r="E7" s="46"/>
      <c r="F7" s="46"/>
      <c r="G7" s="104"/>
      <c r="H7" s="104"/>
      <c r="I7" s="45"/>
      <c r="J7" s="66"/>
      <c r="K7" s="66"/>
      <c r="L7" s="66"/>
      <c r="M7" s="66"/>
      <c r="N7" s="66"/>
      <c r="O7" s="66"/>
      <c r="P7" s="63" t="s">
        <v>57</v>
      </c>
      <c r="Q7" s="67"/>
      <c r="R7" s="68">
        <f>D48</f>
        <v>55.599999999999994</v>
      </c>
      <c r="S7" s="63" t="s">
        <v>3</v>
      </c>
      <c r="T7" s="57"/>
      <c r="U7" s="5"/>
      <c r="V7" s="5"/>
      <c r="W7" s="5"/>
      <c r="X7" s="5"/>
      <c r="Y7" s="5"/>
      <c r="Z7" s="5"/>
    </row>
    <row r="8" spans="1:26" s="1" customFormat="1" ht="20.25" customHeight="1" x14ac:dyDescent="0.2">
      <c r="A8" s="5"/>
      <c r="B8" s="5"/>
      <c r="C8" s="106" t="s">
        <v>47</v>
      </c>
      <c r="D8" s="46"/>
      <c r="E8" s="5"/>
      <c r="F8" s="5"/>
      <c r="G8" s="104"/>
      <c r="H8" s="104"/>
      <c r="I8" s="45"/>
      <c r="J8" s="66"/>
      <c r="K8" s="66"/>
      <c r="L8" s="66"/>
      <c r="M8" s="66"/>
      <c r="N8" s="66"/>
      <c r="O8" s="66"/>
      <c r="P8" s="63" t="s">
        <v>56</v>
      </c>
      <c r="Q8" s="61"/>
      <c r="R8" s="61"/>
      <c r="S8" s="69"/>
      <c r="T8" s="69"/>
      <c r="U8" s="51">
        <f>W48</f>
        <v>553508.35074999998</v>
      </c>
      <c r="V8" s="51"/>
      <c r="W8" s="108"/>
      <c r="X8" s="5"/>
      <c r="Y8" s="5"/>
      <c r="Z8" s="5"/>
    </row>
    <row r="9" spans="1:26" ht="20.25" customHeight="1" x14ac:dyDescent="0.2">
      <c r="G9" s="104"/>
      <c r="H9" s="104"/>
      <c r="I9" s="45"/>
      <c r="J9" s="66"/>
      <c r="K9" s="66"/>
      <c r="L9" s="66"/>
      <c r="M9" s="66"/>
      <c r="N9" s="66"/>
      <c r="O9" s="66"/>
      <c r="P9" s="70" t="s">
        <v>4</v>
      </c>
      <c r="Q9" s="46"/>
      <c r="R9" s="46"/>
      <c r="S9" s="49"/>
      <c r="T9" s="46"/>
      <c r="U9" s="49"/>
      <c r="V9" s="49"/>
      <c r="W9" s="49"/>
    </row>
    <row r="10" spans="1:26" ht="18.75" customHeight="1" x14ac:dyDescent="0.25">
      <c r="C10" s="66" t="s">
        <v>5</v>
      </c>
      <c r="D10" s="109">
        <v>9</v>
      </c>
      <c r="E10" s="47"/>
      <c r="F10" s="47"/>
      <c r="G10" s="66"/>
      <c r="H10" s="66"/>
      <c r="I10" s="66"/>
      <c r="J10" s="66"/>
      <c r="K10" s="45"/>
      <c r="L10" s="45"/>
      <c r="M10" s="45"/>
      <c r="N10" s="45"/>
      <c r="O10" s="45"/>
      <c r="P10" s="71"/>
      <c r="Q10" s="71"/>
      <c r="R10" s="71"/>
      <c r="S10" s="129" t="s">
        <v>82</v>
      </c>
      <c r="T10" s="129"/>
      <c r="U10" s="129"/>
      <c r="V10" s="130"/>
      <c r="W10" s="130"/>
    </row>
    <row r="11" spans="1:26" ht="19.5" customHeight="1" thickBot="1" x14ac:dyDescent="0.3">
      <c r="C11" s="109" t="s">
        <v>6</v>
      </c>
      <c r="D11" s="109">
        <v>2</v>
      </c>
      <c r="E11" s="74" t="s">
        <v>7</v>
      </c>
      <c r="F11" s="48"/>
      <c r="G11" s="109"/>
      <c r="H11" s="109"/>
      <c r="I11" s="45"/>
      <c r="J11" s="66"/>
      <c r="K11" s="45"/>
      <c r="L11" s="45"/>
      <c r="M11" s="45"/>
      <c r="N11" s="45"/>
      <c r="O11" s="45"/>
      <c r="P11" s="66"/>
      <c r="Q11" s="66"/>
      <c r="R11" s="66"/>
      <c r="S11" s="45"/>
      <c r="T11" s="45"/>
      <c r="W11" s="131" t="s">
        <v>92</v>
      </c>
      <c r="X11" s="131"/>
      <c r="Y11" s="131"/>
      <c r="Z11" s="131"/>
    </row>
    <row r="12" spans="1:26" ht="12.75" customHeight="1" x14ac:dyDescent="0.2">
      <c r="A12" s="78"/>
      <c r="B12" s="79"/>
      <c r="C12" s="110" t="s">
        <v>8</v>
      </c>
      <c r="D12" s="110" t="s">
        <v>9</v>
      </c>
      <c r="E12" s="110" t="s">
        <v>10</v>
      </c>
      <c r="F12" s="110" t="s">
        <v>11</v>
      </c>
      <c r="G12" s="110" t="s">
        <v>12</v>
      </c>
      <c r="H12" s="110" t="s">
        <v>46</v>
      </c>
      <c r="I12" s="110" t="s">
        <v>13</v>
      </c>
      <c r="J12" s="115" t="s">
        <v>14</v>
      </c>
      <c r="K12" s="116"/>
      <c r="L12" s="117"/>
      <c r="M12" s="101"/>
      <c r="N12" s="101"/>
      <c r="O12" s="118" t="s">
        <v>15</v>
      </c>
      <c r="P12" s="118"/>
      <c r="Q12" s="118"/>
      <c r="R12" s="118"/>
      <c r="S12" s="118"/>
      <c r="T12" s="110"/>
      <c r="U12" s="110" t="s">
        <v>16</v>
      </c>
      <c r="V12" s="110" t="s">
        <v>58</v>
      </c>
      <c r="W12" s="110" t="s">
        <v>73</v>
      </c>
      <c r="X12" s="122" t="s">
        <v>84</v>
      </c>
      <c r="Y12" s="122" t="s">
        <v>85</v>
      </c>
      <c r="Z12" s="125" t="s">
        <v>86</v>
      </c>
    </row>
    <row r="13" spans="1:26" ht="12.75" customHeight="1" x14ac:dyDescent="0.2">
      <c r="A13" s="80" t="s">
        <v>17</v>
      </c>
      <c r="B13" s="20" t="s">
        <v>25</v>
      </c>
      <c r="C13" s="111"/>
      <c r="D13" s="111"/>
      <c r="E13" s="111"/>
      <c r="F13" s="111"/>
      <c r="G13" s="111"/>
      <c r="H13" s="111"/>
      <c r="I13" s="111"/>
      <c r="J13" s="113" t="s">
        <v>18</v>
      </c>
      <c r="K13" s="113" t="s">
        <v>77</v>
      </c>
      <c r="L13" s="113" t="s">
        <v>49</v>
      </c>
      <c r="M13" s="113" t="s">
        <v>54</v>
      </c>
      <c r="N13" s="113" t="s">
        <v>54</v>
      </c>
      <c r="O13" s="113" t="s">
        <v>76</v>
      </c>
      <c r="P13" s="120" t="s">
        <v>19</v>
      </c>
      <c r="Q13" s="121"/>
      <c r="R13" s="114" t="s">
        <v>20</v>
      </c>
      <c r="S13" s="114"/>
      <c r="T13" s="111"/>
      <c r="U13" s="111"/>
      <c r="V13" s="111"/>
      <c r="W13" s="111"/>
      <c r="X13" s="123"/>
      <c r="Y13" s="123"/>
      <c r="Z13" s="126"/>
    </row>
    <row r="14" spans="1:26" ht="57.75" customHeight="1" x14ac:dyDescent="0.2">
      <c r="A14" s="81" t="s">
        <v>40</v>
      </c>
      <c r="B14" s="21" t="s">
        <v>26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9"/>
      <c r="N14" s="119"/>
      <c r="O14" s="112"/>
      <c r="P14" s="22">
        <v>0.35</v>
      </c>
      <c r="Q14" s="23" t="s">
        <v>21</v>
      </c>
      <c r="R14" s="24" t="s">
        <v>22</v>
      </c>
      <c r="S14" s="24" t="s">
        <v>21</v>
      </c>
      <c r="T14" s="112"/>
      <c r="U14" s="112"/>
      <c r="V14" s="112"/>
      <c r="W14" s="112"/>
      <c r="X14" s="124"/>
      <c r="Y14" s="124"/>
      <c r="Z14" s="127"/>
    </row>
    <row r="15" spans="1:26" s="5" customFormat="1" ht="22.5" x14ac:dyDescent="0.2">
      <c r="A15" s="82">
        <v>1</v>
      </c>
      <c r="B15" s="2" t="s">
        <v>44</v>
      </c>
      <c r="C15" s="25" t="s">
        <v>45</v>
      </c>
      <c r="D15" s="2">
        <v>1</v>
      </c>
      <c r="E15" s="2">
        <v>16</v>
      </c>
      <c r="F15" s="2">
        <v>8071</v>
      </c>
      <c r="G15" s="3"/>
      <c r="H15" s="3">
        <f>(F15+G15)*6%</f>
        <v>484.26</v>
      </c>
      <c r="I15" s="3">
        <f>(D15*F15)+G15+H15+(F15*D15*10%)</f>
        <v>9362.36</v>
      </c>
      <c r="J15" s="6">
        <v>0.3</v>
      </c>
      <c r="K15" s="2"/>
      <c r="L15" s="3">
        <f>I15*J15</f>
        <v>2808.7080000000001</v>
      </c>
      <c r="M15" s="6">
        <v>0.5</v>
      </c>
      <c r="N15" s="3">
        <f>I15*M15</f>
        <v>4681.18</v>
      </c>
      <c r="O15" s="2"/>
      <c r="P15" s="2"/>
      <c r="Q15" s="2"/>
      <c r="R15" s="26">
        <v>0.2</v>
      </c>
      <c r="S15" s="7">
        <f>I15*0.2</f>
        <v>1872.4720000000002</v>
      </c>
      <c r="T15" s="9"/>
      <c r="U15" s="3">
        <f t="shared" ref="U15:U24" si="0">S15+N15+L15+I15</f>
        <v>18724.72</v>
      </c>
      <c r="V15" s="3"/>
      <c r="W15" s="3">
        <f t="shared" ref="W15:W26" si="1">(V15+U15)</f>
        <v>18724.72</v>
      </c>
      <c r="X15" s="77">
        <f t="shared" ref="X15:X24" si="2">I15/12</f>
        <v>780.19666666666672</v>
      </c>
      <c r="Y15" s="77">
        <f t="shared" ref="Y15:Y26" si="3">I15/12</f>
        <v>780.19666666666672</v>
      </c>
      <c r="Z15" s="83">
        <f t="shared" ref="Z15:Z26" si="4">(W15+X15+Y15)*12</f>
        <v>243421.36000000002</v>
      </c>
    </row>
    <row r="16" spans="1:26" s="5" customFormat="1" ht="20.25" customHeight="1" x14ac:dyDescent="0.2">
      <c r="A16" s="82">
        <v>2</v>
      </c>
      <c r="B16" s="2" t="s">
        <v>30</v>
      </c>
      <c r="C16" s="10" t="s">
        <v>31</v>
      </c>
      <c r="D16" s="2">
        <v>1</v>
      </c>
      <c r="E16" s="2">
        <v>14</v>
      </c>
      <c r="F16" s="2">
        <v>7001</v>
      </c>
      <c r="G16" s="3"/>
      <c r="H16" s="2"/>
      <c r="I16" s="3">
        <f>(D16*F16)+G16+H16+F16*D16*10%</f>
        <v>7701.1</v>
      </c>
      <c r="J16" s="6">
        <v>0.3</v>
      </c>
      <c r="K16" s="2"/>
      <c r="L16" s="3">
        <f>I16*J16</f>
        <v>2310.33</v>
      </c>
      <c r="M16" s="6">
        <v>0.5</v>
      </c>
      <c r="N16" s="3">
        <f>I16*M16</f>
        <v>3850.55</v>
      </c>
      <c r="O16" s="2"/>
      <c r="P16" s="2"/>
      <c r="Q16" s="2"/>
      <c r="R16" s="6">
        <v>0.2</v>
      </c>
      <c r="S16" s="7">
        <f>I16*R16</f>
        <v>1540.2200000000003</v>
      </c>
      <c r="T16" s="44"/>
      <c r="U16" s="3">
        <f t="shared" si="0"/>
        <v>15402.2</v>
      </c>
      <c r="V16" s="3"/>
      <c r="W16" s="3">
        <f t="shared" si="1"/>
        <v>15402.2</v>
      </c>
      <c r="X16" s="77">
        <f t="shared" si="2"/>
        <v>641.75833333333333</v>
      </c>
      <c r="Y16" s="77">
        <f t="shared" si="3"/>
        <v>641.75833333333333</v>
      </c>
      <c r="Z16" s="83">
        <f t="shared" si="4"/>
        <v>200228.6</v>
      </c>
    </row>
    <row r="17" spans="1:26" s="5" customFormat="1" ht="23.25" customHeight="1" x14ac:dyDescent="0.2">
      <c r="A17" s="82">
        <v>3</v>
      </c>
      <c r="B17" s="2">
        <v>2332</v>
      </c>
      <c r="C17" s="4" t="s">
        <v>61</v>
      </c>
      <c r="D17" s="2">
        <v>2</v>
      </c>
      <c r="E17" s="2">
        <v>14</v>
      </c>
      <c r="F17" s="2">
        <v>7001</v>
      </c>
      <c r="G17" s="3"/>
      <c r="H17" s="2"/>
      <c r="I17" s="3">
        <f>(D17*F17)+G17+H17+(F17*D17*10%)</f>
        <v>15402.2</v>
      </c>
      <c r="J17" s="6">
        <v>0.3</v>
      </c>
      <c r="K17" s="2"/>
      <c r="L17" s="3">
        <f>I17*J17</f>
        <v>4620.66</v>
      </c>
      <c r="M17" s="6">
        <v>0.5</v>
      </c>
      <c r="N17" s="3">
        <f>I17*M17</f>
        <v>7701.1</v>
      </c>
      <c r="O17" s="2"/>
      <c r="P17" s="2"/>
      <c r="Q17" s="9"/>
      <c r="R17" s="26">
        <v>0.2</v>
      </c>
      <c r="S17" s="7">
        <f>I17*R17</f>
        <v>3080.4400000000005</v>
      </c>
      <c r="T17" s="9"/>
      <c r="U17" s="3">
        <f t="shared" si="0"/>
        <v>30804.400000000001</v>
      </c>
      <c r="V17" s="3"/>
      <c r="W17" s="3">
        <f t="shared" si="1"/>
        <v>30804.400000000001</v>
      </c>
      <c r="X17" s="77">
        <f t="shared" si="2"/>
        <v>1283.5166666666667</v>
      </c>
      <c r="Y17" s="77">
        <f t="shared" si="3"/>
        <v>1283.5166666666667</v>
      </c>
      <c r="Z17" s="83">
        <f t="shared" si="4"/>
        <v>400457.2</v>
      </c>
    </row>
    <row r="18" spans="1:26" s="5" customFormat="1" ht="27.75" customHeight="1" x14ac:dyDescent="0.2">
      <c r="A18" s="82">
        <v>4</v>
      </c>
      <c r="B18" s="2">
        <v>2332</v>
      </c>
      <c r="C18" s="4" t="s">
        <v>61</v>
      </c>
      <c r="D18" s="2">
        <v>6</v>
      </c>
      <c r="E18" s="2">
        <v>12</v>
      </c>
      <c r="F18" s="2">
        <v>6133</v>
      </c>
      <c r="G18" s="3"/>
      <c r="H18" s="2"/>
      <c r="I18" s="3">
        <f>(D18*F18)+G18+H18+(F18*D18*10%)</f>
        <v>40477.800000000003</v>
      </c>
      <c r="J18" s="6">
        <v>0.3</v>
      </c>
      <c r="K18" s="2"/>
      <c r="L18" s="3">
        <f>I18*J18</f>
        <v>12143.34</v>
      </c>
      <c r="M18" s="6">
        <v>0.5</v>
      </c>
      <c r="N18" s="3">
        <f t="shared" ref="N18:N24" si="5">I18*M18</f>
        <v>20238.900000000001</v>
      </c>
      <c r="O18" s="2"/>
      <c r="P18" s="2"/>
      <c r="Q18" s="26"/>
      <c r="R18" s="26" t="s">
        <v>66</v>
      </c>
      <c r="S18" s="7">
        <v>7420.93</v>
      </c>
      <c r="T18" s="9"/>
      <c r="U18" s="3">
        <f t="shared" si="0"/>
        <v>80280.97</v>
      </c>
      <c r="V18" s="3"/>
      <c r="W18" s="3">
        <f t="shared" si="1"/>
        <v>80280.97</v>
      </c>
      <c r="X18" s="77">
        <f t="shared" si="2"/>
        <v>3373.15</v>
      </c>
      <c r="Y18" s="77">
        <f t="shared" si="3"/>
        <v>3373.15</v>
      </c>
      <c r="Z18" s="83">
        <f t="shared" si="4"/>
        <v>1044327.2399999999</v>
      </c>
    </row>
    <row r="19" spans="1:26" s="5" customFormat="1" ht="20.25" customHeight="1" x14ac:dyDescent="0.2">
      <c r="A19" s="82">
        <v>5</v>
      </c>
      <c r="B19" s="2" t="s">
        <v>28</v>
      </c>
      <c r="C19" s="8" t="s">
        <v>29</v>
      </c>
      <c r="D19" s="2">
        <v>1</v>
      </c>
      <c r="E19" s="2">
        <v>12</v>
      </c>
      <c r="F19" s="2">
        <v>6133</v>
      </c>
      <c r="G19" s="3"/>
      <c r="H19" s="2"/>
      <c r="I19" s="3">
        <f>(D19*F19)+G19+H19+F19*D19*10%</f>
        <v>6746.3</v>
      </c>
      <c r="J19" s="6">
        <v>0.3</v>
      </c>
      <c r="K19" s="2"/>
      <c r="L19" s="3">
        <f t="shared" ref="L19:L24" si="6">I19*J19</f>
        <v>2023.8899999999999</v>
      </c>
      <c r="M19" s="6">
        <v>0.5</v>
      </c>
      <c r="N19" s="3">
        <f t="shared" si="5"/>
        <v>3373.15</v>
      </c>
      <c r="O19" s="2"/>
      <c r="P19" s="2"/>
      <c r="Q19" s="2"/>
      <c r="R19" s="6">
        <v>0.1</v>
      </c>
      <c r="S19" s="3">
        <f>I19*R19</f>
        <v>674.63000000000011</v>
      </c>
      <c r="T19" s="9"/>
      <c r="U19" s="3">
        <f t="shared" si="0"/>
        <v>12817.970000000001</v>
      </c>
      <c r="V19" s="3"/>
      <c r="W19" s="3">
        <f t="shared" si="1"/>
        <v>12817.970000000001</v>
      </c>
      <c r="X19" s="77">
        <f t="shared" si="2"/>
        <v>562.19166666666672</v>
      </c>
      <c r="Y19" s="77">
        <f t="shared" si="3"/>
        <v>562.19166666666672</v>
      </c>
      <c r="Z19" s="83">
        <f t="shared" si="4"/>
        <v>167308.24000000005</v>
      </c>
    </row>
    <row r="20" spans="1:26" s="5" customFormat="1" ht="34.5" customHeight="1" x14ac:dyDescent="0.2">
      <c r="A20" s="82">
        <v>6</v>
      </c>
      <c r="B20" s="2">
        <v>2332</v>
      </c>
      <c r="C20" s="4" t="s">
        <v>61</v>
      </c>
      <c r="D20" s="2">
        <v>7</v>
      </c>
      <c r="E20" s="2">
        <v>11</v>
      </c>
      <c r="F20" s="2">
        <v>5699</v>
      </c>
      <c r="G20" s="3">
        <v>3419.4</v>
      </c>
      <c r="H20" s="2"/>
      <c r="I20" s="3">
        <v>47301.7</v>
      </c>
      <c r="J20" s="6">
        <v>0.3</v>
      </c>
      <c r="K20" s="2"/>
      <c r="L20" s="3">
        <f>I20*J20</f>
        <v>14190.509999999998</v>
      </c>
      <c r="M20" s="6">
        <v>0.5</v>
      </c>
      <c r="N20" s="3">
        <f>I20*M20</f>
        <v>23650.85</v>
      </c>
      <c r="O20" s="2"/>
      <c r="P20" s="2"/>
      <c r="Q20" s="2"/>
      <c r="R20" s="6" t="s">
        <v>59</v>
      </c>
      <c r="S20" s="7">
        <v>12224.37</v>
      </c>
      <c r="T20" s="7"/>
      <c r="U20" s="3">
        <f>S20+N20+L20+I20</f>
        <v>97367.43</v>
      </c>
      <c r="V20" s="3"/>
      <c r="W20" s="3">
        <f t="shared" si="1"/>
        <v>97367.43</v>
      </c>
      <c r="X20" s="77">
        <f t="shared" si="2"/>
        <v>3941.8083333333329</v>
      </c>
      <c r="Y20" s="77">
        <f t="shared" si="3"/>
        <v>3941.8083333333329</v>
      </c>
      <c r="Z20" s="83">
        <f t="shared" si="4"/>
        <v>1263012.56</v>
      </c>
    </row>
    <row r="21" spans="1:26" s="5" customFormat="1" ht="26.25" customHeight="1" x14ac:dyDescent="0.2">
      <c r="A21" s="82">
        <v>7</v>
      </c>
      <c r="B21" s="2" t="s">
        <v>67</v>
      </c>
      <c r="C21" s="8" t="s">
        <v>65</v>
      </c>
      <c r="D21" s="2">
        <v>1.125</v>
      </c>
      <c r="E21" s="2">
        <v>11</v>
      </c>
      <c r="F21" s="2">
        <v>5699</v>
      </c>
      <c r="G21" s="3"/>
      <c r="H21" s="2"/>
      <c r="I21" s="3">
        <f>(D21*F21)+G21+H21+F21*D21*10%</f>
        <v>7052.5124999999998</v>
      </c>
      <c r="J21" s="6">
        <v>0.3</v>
      </c>
      <c r="K21" s="2"/>
      <c r="L21" s="3">
        <f>I21*J21</f>
        <v>2115.7537499999999</v>
      </c>
      <c r="M21" s="6">
        <v>0.5</v>
      </c>
      <c r="N21" s="3">
        <f>I21*M21</f>
        <v>3526.2562499999999</v>
      </c>
      <c r="O21" s="2"/>
      <c r="P21" s="2"/>
      <c r="Q21" s="2"/>
      <c r="R21" s="6"/>
      <c r="S21" s="3"/>
      <c r="T21" s="9"/>
      <c r="U21" s="3">
        <f t="shared" si="0"/>
        <v>12694.522499999999</v>
      </c>
      <c r="V21" s="3"/>
      <c r="W21" s="3">
        <f t="shared" si="1"/>
        <v>12694.522499999999</v>
      </c>
      <c r="X21" s="77">
        <f t="shared" si="2"/>
        <v>587.70937500000002</v>
      </c>
      <c r="Y21" s="77">
        <f t="shared" si="3"/>
        <v>587.70937500000002</v>
      </c>
      <c r="Z21" s="83">
        <f t="shared" si="4"/>
        <v>166439.29499999998</v>
      </c>
    </row>
    <row r="22" spans="1:26" s="43" customFormat="1" ht="27.75" customHeight="1" x14ac:dyDescent="0.2">
      <c r="A22" s="82">
        <v>8</v>
      </c>
      <c r="B22" s="2">
        <v>2332</v>
      </c>
      <c r="C22" s="8" t="s">
        <v>61</v>
      </c>
      <c r="D22" s="2">
        <v>1.2</v>
      </c>
      <c r="E22" s="2">
        <v>10</v>
      </c>
      <c r="F22" s="2">
        <v>5265</v>
      </c>
      <c r="G22" s="3"/>
      <c r="H22" s="2"/>
      <c r="I22" s="3">
        <f>(D22*F22)+G22+H22+(F22*D22*10%)</f>
        <v>6949.8</v>
      </c>
      <c r="J22" s="6">
        <v>0.3</v>
      </c>
      <c r="K22" s="2"/>
      <c r="L22" s="3">
        <f t="shared" si="6"/>
        <v>2084.94</v>
      </c>
      <c r="M22" s="6">
        <v>0.5</v>
      </c>
      <c r="N22" s="3">
        <f t="shared" si="5"/>
        <v>3474.9</v>
      </c>
      <c r="O22" s="2"/>
      <c r="P22" s="2"/>
      <c r="Q22" s="2"/>
      <c r="R22" s="6">
        <v>0.1</v>
      </c>
      <c r="S22" s="3">
        <f>I22*10%</f>
        <v>694.98</v>
      </c>
      <c r="T22" s="9"/>
      <c r="U22" s="3">
        <f t="shared" si="0"/>
        <v>13204.619999999999</v>
      </c>
      <c r="V22" s="3"/>
      <c r="W22" s="3">
        <f t="shared" si="1"/>
        <v>13204.619999999999</v>
      </c>
      <c r="X22" s="77">
        <f t="shared" si="2"/>
        <v>579.15</v>
      </c>
      <c r="Y22" s="77">
        <f t="shared" si="3"/>
        <v>579.15</v>
      </c>
      <c r="Z22" s="83">
        <f t="shared" si="4"/>
        <v>172355.03999999998</v>
      </c>
    </row>
    <row r="23" spans="1:26" s="5" customFormat="1" ht="27" customHeight="1" x14ac:dyDescent="0.2">
      <c r="A23" s="82">
        <v>9</v>
      </c>
      <c r="B23" s="2" t="s">
        <v>62</v>
      </c>
      <c r="C23" s="8" t="s">
        <v>27</v>
      </c>
      <c r="D23" s="2">
        <v>2.25</v>
      </c>
      <c r="E23" s="2">
        <v>10</v>
      </c>
      <c r="F23" s="2">
        <v>5265</v>
      </c>
      <c r="G23" s="3">
        <v>987.19</v>
      </c>
      <c r="H23" s="2"/>
      <c r="I23" s="3">
        <f>(D23*F23)+G23+H23+F23*D23*10%</f>
        <v>14018.065000000001</v>
      </c>
      <c r="J23" s="6">
        <v>0.3</v>
      </c>
      <c r="K23" s="2"/>
      <c r="L23" s="3">
        <f>I23*J23</f>
        <v>4205.4195</v>
      </c>
      <c r="M23" s="6">
        <v>0.5</v>
      </c>
      <c r="N23" s="3">
        <f>I23*M23</f>
        <v>7009.0325000000003</v>
      </c>
      <c r="O23" s="2"/>
      <c r="P23" s="2"/>
      <c r="Q23" s="2"/>
      <c r="R23" s="6" t="s">
        <v>75</v>
      </c>
      <c r="S23" s="3">
        <v>3626.27</v>
      </c>
      <c r="T23" s="9"/>
      <c r="U23" s="3">
        <f t="shared" si="0"/>
        <v>28858.787</v>
      </c>
      <c r="V23" s="3"/>
      <c r="W23" s="3">
        <f t="shared" si="1"/>
        <v>28858.787</v>
      </c>
      <c r="X23" s="77">
        <f t="shared" si="2"/>
        <v>1168.1720833333334</v>
      </c>
      <c r="Y23" s="77">
        <f t="shared" si="3"/>
        <v>1168.1720833333334</v>
      </c>
      <c r="Z23" s="83">
        <f t="shared" si="4"/>
        <v>374341.57400000002</v>
      </c>
    </row>
    <row r="24" spans="1:26" s="5" customFormat="1" ht="26.25" customHeight="1" x14ac:dyDescent="0.2">
      <c r="A24" s="82">
        <v>10</v>
      </c>
      <c r="B24" s="2">
        <v>3475</v>
      </c>
      <c r="C24" s="8" t="s">
        <v>32</v>
      </c>
      <c r="D24" s="2">
        <v>1.125</v>
      </c>
      <c r="E24" s="2">
        <v>10</v>
      </c>
      <c r="F24" s="2">
        <v>5265</v>
      </c>
      <c r="G24" s="3"/>
      <c r="H24" s="2"/>
      <c r="I24" s="3">
        <f>(D24*F24)+G24+H24+F24*D24*10%</f>
        <v>6515.4375</v>
      </c>
      <c r="J24" s="6">
        <v>0.3</v>
      </c>
      <c r="K24" s="2"/>
      <c r="L24" s="3">
        <f t="shared" si="6"/>
        <v>1954.6312499999999</v>
      </c>
      <c r="M24" s="6">
        <v>0.5</v>
      </c>
      <c r="N24" s="3">
        <f t="shared" si="5"/>
        <v>3257.71875</v>
      </c>
      <c r="O24" s="2"/>
      <c r="P24" s="2"/>
      <c r="Q24" s="2"/>
      <c r="R24" s="6">
        <v>0.1</v>
      </c>
      <c r="S24" s="7">
        <f>I24*R24</f>
        <v>651.54375000000005</v>
      </c>
      <c r="T24" s="9"/>
      <c r="U24" s="3">
        <f t="shared" si="0"/>
        <v>12379.331249999999</v>
      </c>
      <c r="V24" s="3"/>
      <c r="W24" s="3">
        <f t="shared" si="1"/>
        <v>12379.331249999999</v>
      </c>
      <c r="X24" s="77">
        <f t="shared" si="2"/>
        <v>542.953125</v>
      </c>
      <c r="Y24" s="77">
        <f t="shared" si="3"/>
        <v>542.953125</v>
      </c>
      <c r="Z24" s="83">
        <f t="shared" si="4"/>
        <v>161582.84999999998</v>
      </c>
    </row>
    <row r="25" spans="1:26" s="5" customFormat="1" ht="21" customHeight="1" x14ac:dyDescent="0.2">
      <c r="A25" s="82">
        <v>11</v>
      </c>
      <c r="B25" s="2">
        <v>3231</v>
      </c>
      <c r="C25" s="8" t="s">
        <v>33</v>
      </c>
      <c r="D25" s="2">
        <v>1</v>
      </c>
      <c r="E25" s="2">
        <v>9</v>
      </c>
      <c r="F25" s="2">
        <v>5005</v>
      </c>
      <c r="G25" s="3"/>
      <c r="H25" s="2"/>
      <c r="I25" s="3">
        <f>(D25*F25)+G25+H25</f>
        <v>5005</v>
      </c>
      <c r="J25" s="6">
        <v>0.2</v>
      </c>
      <c r="K25" s="3">
        <f>I25*20%</f>
        <v>1001</v>
      </c>
      <c r="L25" s="3"/>
      <c r="M25" s="6">
        <v>0.4</v>
      </c>
      <c r="N25" s="3">
        <f>I25*M25</f>
        <v>2002</v>
      </c>
      <c r="O25" s="2"/>
      <c r="P25" s="2"/>
      <c r="Q25" s="2"/>
      <c r="R25" s="6">
        <v>0.3</v>
      </c>
      <c r="S25" s="7">
        <f>I25*R25</f>
        <v>1501.5</v>
      </c>
      <c r="T25" s="9"/>
      <c r="U25" s="3">
        <f>S25+N25+L25+I25+K25</f>
        <v>9509.5</v>
      </c>
      <c r="V25" s="3"/>
      <c r="W25" s="3">
        <f t="shared" si="1"/>
        <v>9509.5</v>
      </c>
      <c r="X25" s="77"/>
      <c r="Y25" s="77">
        <f t="shared" si="3"/>
        <v>417.08333333333331</v>
      </c>
      <c r="Z25" s="83">
        <f t="shared" si="4"/>
        <v>119119</v>
      </c>
    </row>
    <row r="26" spans="1:26" s="5" customFormat="1" ht="24.75" customHeight="1" thickBot="1" x14ac:dyDescent="0.25">
      <c r="A26" s="84">
        <v>12</v>
      </c>
      <c r="B26" s="12">
        <v>3231</v>
      </c>
      <c r="C26" s="52" t="s">
        <v>33</v>
      </c>
      <c r="D26" s="12">
        <v>0.5</v>
      </c>
      <c r="E26" s="12">
        <v>8</v>
      </c>
      <c r="F26" s="12">
        <v>4745</v>
      </c>
      <c r="G26" s="13"/>
      <c r="H26" s="12"/>
      <c r="I26" s="13">
        <f>(D26*F26)+G26+H26</f>
        <v>2372.5</v>
      </c>
      <c r="J26" s="28">
        <v>0.2</v>
      </c>
      <c r="K26" s="13">
        <f>I26*20%</f>
        <v>474.5</v>
      </c>
      <c r="L26" s="13"/>
      <c r="M26" s="28">
        <v>0.4</v>
      </c>
      <c r="N26" s="13">
        <f>I26*M26</f>
        <v>949</v>
      </c>
      <c r="O26" s="12"/>
      <c r="P26" s="12"/>
      <c r="Q26" s="12"/>
      <c r="R26" s="28">
        <v>0.2</v>
      </c>
      <c r="S26" s="53">
        <f>I26*R26</f>
        <v>474.5</v>
      </c>
      <c r="T26" s="54"/>
      <c r="U26" s="13">
        <f>S26+N26+L26+I26+K26</f>
        <v>4270.5</v>
      </c>
      <c r="V26" s="13"/>
      <c r="W26" s="13">
        <f t="shared" si="1"/>
        <v>4270.5</v>
      </c>
      <c r="X26" s="95"/>
      <c r="Y26" s="77">
        <f t="shared" si="3"/>
        <v>197.70833333333334</v>
      </c>
      <c r="Z26" s="83">
        <f t="shared" si="4"/>
        <v>53618.5</v>
      </c>
    </row>
    <row r="27" spans="1:26" s="5" customFormat="1" ht="13.5" thickBot="1" x14ac:dyDescent="0.25">
      <c r="A27" s="55"/>
      <c r="B27" s="32"/>
      <c r="C27" s="33" t="s">
        <v>34</v>
      </c>
      <c r="D27" s="34">
        <f>SUM(D15:D26)</f>
        <v>25.2</v>
      </c>
      <c r="E27" s="32"/>
      <c r="F27" s="32"/>
      <c r="G27" s="34">
        <f>SUM(G15:G26)</f>
        <v>4406.59</v>
      </c>
      <c r="H27" s="34">
        <f>SUM(H15:H26)</f>
        <v>484.26</v>
      </c>
      <c r="I27" s="34">
        <f>SUM(I15:I26)-0.01</f>
        <v>168904.76499999998</v>
      </c>
      <c r="J27" s="32"/>
      <c r="K27" s="32">
        <f>SUM(K15:K26)</f>
        <v>1475.5</v>
      </c>
      <c r="L27" s="34">
        <f>SUM(L15:L26)</f>
        <v>48458.182500000003</v>
      </c>
      <c r="M27" s="35"/>
      <c r="N27" s="34">
        <f>SUM(N15:N26)</f>
        <v>83714.637499999997</v>
      </c>
      <c r="O27" s="32"/>
      <c r="P27" s="32"/>
      <c r="Q27" s="32"/>
      <c r="R27" s="35"/>
      <c r="S27" s="34">
        <f>SUM(S15:S26)-0.02</f>
        <v>33761.835750000006</v>
      </c>
      <c r="T27" s="34">
        <f>SUM(T15:T26)</f>
        <v>0</v>
      </c>
      <c r="U27" s="34">
        <f>SUM(U15:U26)-0.02</f>
        <v>336314.93075</v>
      </c>
      <c r="V27" s="34"/>
      <c r="W27" s="36">
        <f>SUM(W15:W26)-0.02</f>
        <v>336314.93075</v>
      </c>
      <c r="X27" s="36">
        <f>SUM(X15:X26)</f>
        <v>13460.606249999999</v>
      </c>
      <c r="Y27" s="36">
        <f>SUM(Y15:Y26)</f>
        <v>14075.397916666667</v>
      </c>
      <c r="Z27" s="36">
        <f>SUM(Z15:Z26)</f>
        <v>4366211.4590000007</v>
      </c>
    </row>
    <row r="28" spans="1:26" s="5" customFormat="1" ht="23.25" customHeight="1" x14ac:dyDescent="0.2">
      <c r="A28" s="81">
        <v>13</v>
      </c>
      <c r="B28" s="27">
        <v>1239</v>
      </c>
      <c r="C28" s="29" t="s">
        <v>41</v>
      </c>
      <c r="D28" s="27">
        <v>1</v>
      </c>
      <c r="E28" s="27">
        <v>7</v>
      </c>
      <c r="F28" s="27">
        <v>4455</v>
      </c>
      <c r="G28" s="27"/>
      <c r="H28" s="30"/>
      <c r="I28" s="30">
        <f t="shared" ref="I28:I42" si="7">F28*D28</f>
        <v>4455</v>
      </c>
      <c r="J28" s="31"/>
      <c r="K28" s="30"/>
      <c r="L28" s="30"/>
      <c r="M28" s="31">
        <v>0.5</v>
      </c>
      <c r="N28" s="30">
        <f>I28*M28</f>
        <v>2227.5</v>
      </c>
      <c r="O28" s="30"/>
      <c r="P28" s="27"/>
      <c r="Q28" s="27"/>
      <c r="R28" s="30"/>
      <c r="S28" s="30"/>
      <c r="T28" s="30"/>
      <c r="U28" s="30">
        <f>I28+N28</f>
        <v>6682.5</v>
      </c>
      <c r="V28" s="30">
        <v>17.5</v>
      </c>
      <c r="W28" s="30">
        <f>(U28+V28)</f>
        <v>6700</v>
      </c>
      <c r="X28" s="96"/>
      <c r="Y28" s="96"/>
      <c r="Z28" s="97">
        <f t="shared" ref="Z28:Z37" si="8">(W28+X28+Y28)*12</f>
        <v>80400</v>
      </c>
    </row>
    <row r="29" spans="1:26" s="5" customFormat="1" ht="18.75" customHeight="1" x14ac:dyDescent="0.2">
      <c r="A29" s="82">
        <v>14</v>
      </c>
      <c r="B29" s="12">
        <v>9411</v>
      </c>
      <c r="C29" s="10" t="s">
        <v>39</v>
      </c>
      <c r="D29" s="2">
        <v>1</v>
      </c>
      <c r="E29" s="2">
        <v>1</v>
      </c>
      <c r="F29" s="2">
        <v>2893</v>
      </c>
      <c r="G29" s="2"/>
      <c r="H29" s="3"/>
      <c r="I29" s="3">
        <f t="shared" si="7"/>
        <v>2893</v>
      </c>
      <c r="J29" s="6"/>
      <c r="K29" s="3"/>
      <c r="L29" s="3"/>
      <c r="M29" s="6"/>
      <c r="N29" s="3"/>
      <c r="O29" s="3"/>
      <c r="P29" s="2"/>
      <c r="Q29" s="2"/>
      <c r="R29" s="3"/>
      <c r="S29" s="3"/>
      <c r="T29" s="3"/>
      <c r="U29" s="3">
        <f>I29+N29</f>
        <v>2893</v>
      </c>
      <c r="V29" s="3">
        <f>6700-I29</f>
        <v>3807</v>
      </c>
      <c r="W29" s="30">
        <f t="shared" ref="W29:W42" si="9">(U29+V29)</f>
        <v>6700</v>
      </c>
      <c r="X29" s="77"/>
      <c r="Y29" s="77"/>
      <c r="Z29" s="97">
        <f t="shared" si="8"/>
        <v>80400</v>
      </c>
    </row>
    <row r="30" spans="1:26" s="5" customFormat="1" ht="18" customHeight="1" x14ac:dyDescent="0.2">
      <c r="A30" s="82">
        <v>15</v>
      </c>
      <c r="B30" s="2">
        <v>4144</v>
      </c>
      <c r="C30" s="10" t="s">
        <v>43</v>
      </c>
      <c r="D30" s="2">
        <v>0.5</v>
      </c>
      <c r="E30" s="2">
        <v>4</v>
      </c>
      <c r="F30" s="2">
        <v>3674</v>
      </c>
      <c r="G30" s="2"/>
      <c r="H30" s="3"/>
      <c r="I30" s="3">
        <f t="shared" si="7"/>
        <v>1837</v>
      </c>
      <c r="J30" s="6"/>
      <c r="K30" s="3"/>
      <c r="L30" s="3"/>
      <c r="M30" s="6"/>
      <c r="N30" s="3"/>
      <c r="O30" s="3">
        <f>I30*20%</f>
        <v>367.40000000000003</v>
      </c>
      <c r="P30" s="2"/>
      <c r="Q30" s="2"/>
      <c r="R30" s="3"/>
      <c r="S30" s="3"/>
      <c r="T30" s="3"/>
      <c r="U30" s="3">
        <f>SUM(I30:T30)</f>
        <v>2204.4</v>
      </c>
      <c r="V30" s="3">
        <f>3350-I30-O30</f>
        <v>1145.5999999999999</v>
      </c>
      <c r="W30" s="30">
        <f t="shared" si="9"/>
        <v>3350</v>
      </c>
      <c r="X30" s="77"/>
      <c r="Y30" s="77"/>
      <c r="Z30" s="97">
        <f t="shared" si="8"/>
        <v>40200</v>
      </c>
    </row>
    <row r="31" spans="1:26" s="5" customFormat="1" ht="16.5" customHeight="1" x14ac:dyDescent="0.2">
      <c r="A31" s="82">
        <v>16</v>
      </c>
      <c r="B31" s="2">
        <v>5122</v>
      </c>
      <c r="C31" s="10" t="s">
        <v>35</v>
      </c>
      <c r="D31" s="2">
        <v>1</v>
      </c>
      <c r="E31" s="2">
        <v>3</v>
      </c>
      <c r="F31" s="2">
        <v>3414</v>
      </c>
      <c r="G31" s="2"/>
      <c r="H31" s="3"/>
      <c r="I31" s="3">
        <f t="shared" si="7"/>
        <v>3414</v>
      </c>
      <c r="J31" s="6">
        <v>0.08</v>
      </c>
      <c r="K31" s="3">
        <f>I31*8%</f>
        <v>273.12</v>
      </c>
      <c r="L31" s="3"/>
      <c r="M31" s="6"/>
      <c r="N31" s="3"/>
      <c r="O31" s="3"/>
      <c r="P31" s="2"/>
      <c r="Q31" s="2"/>
      <c r="R31" s="3"/>
      <c r="S31" s="3"/>
      <c r="T31" s="3"/>
      <c r="U31" s="3">
        <f>I31+K31+N31</f>
        <v>3687.12</v>
      </c>
      <c r="V31" s="3">
        <f>6700-I31</f>
        <v>3286</v>
      </c>
      <c r="W31" s="30">
        <f t="shared" si="9"/>
        <v>6973.12</v>
      </c>
      <c r="X31" s="77"/>
      <c r="Y31" s="77"/>
      <c r="Z31" s="97">
        <f t="shared" si="8"/>
        <v>83677.440000000002</v>
      </c>
    </row>
    <row r="32" spans="1:26" s="5" customFormat="1" ht="19.5" customHeight="1" x14ac:dyDescent="0.2">
      <c r="A32" s="82">
        <v>17</v>
      </c>
      <c r="B32" s="2">
        <v>5122</v>
      </c>
      <c r="C32" s="8" t="s">
        <v>36</v>
      </c>
      <c r="D32" s="2">
        <v>2</v>
      </c>
      <c r="E32" s="2">
        <v>5</v>
      </c>
      <c r="F32" s="2">
        <v>3934</v>
      </c>
      <c r="G32" s="2"/>
      <c r="H32" s="3"/>
      <c r="I32" s="3">
        <f t="shared" si="7"/>
        <v>7868</v>
      </c>
      <c r="J32" s="6">
        <v>0.08</v>
      </c>
      <c r="K32" s="3">
        <f>I32*8%</f>
        <v>629.44000000000005</v>
      </c>
      <c r="L32" s="3"/>
      <c r="M32" s="6"/>
      <c r="N32" s="3"/>
      <c r="O32" s="3"/>
      <c r="P32" s="2"/>
      <c r="Q32" s="2"/>
      <c r="R32" s="3"/>
      <c r="S32" s="3"/>
      <c r="T32" s="3"/>
      <c r="U32" s="3">
        <f>I32+K32+N32</f>
        <v>8497.44</v>
      </c>
      <c r="V32" s="3">
        <f>(6700*2)-I32</f>
        <v>5532</v>
      </c>
      <c r="W32" s="30">
        <f t="shared" si="9"/>
        <v>14029.44</v>
      </c>
      <c r="X32" s="77"/>
      <c r="Y32" s="77"/>
      <c r="Z32" s="97">
        <f t="shared" si="8"/>
        <v>168353.28</v>
      </c>
    </row>
    <row r="33" spans="1:26" s="5" customFormat="1" ht="17.25" customHeight="1" x14ac:dyDescent="0.2">
      <c r="A33" s="82">
        <v>18</v>
      </c>
      <c r="B33" s="2">
        <v>9322</v>
      </c>
      <c r="C33" s="8" t="s">
        <v>42</v>
      </c>
      <c r="D33" s="2">
        <v>2</v>
      </c>
      <c r="E33" s="2">
        <v>1</v>
      </c>
      <c r="F33" s="2">
        <v>2893</v>
      </c>
      <c r="G33" s="2"/>
      <c r="H33" s="3"/>
      <c r="I33" s="3">
        <f t="shared" si="7"/>
        <v>5786</v>
      </c>
      <c r="J33" s="6">
        <v>0.08</v>
      </c>
      <c r="K33" s="3">
        <f>I33*8%</f>
        <v>462.88</v>
      </c>
      <c r="L33" s="3"/>
      <c r="M33" s="6"/>
      <c r="N33" s="3"/>
      <c r="O33" s="3"/>
      <c r="P33" s="2"/>
      <c r="Q33" s="2"/>
      <c r="R33" s="3"/>
      <c r="S33" s="3"/>
      <c r="T33" s="3"/>
      <c r="U33" s="3">
        <f>T33+Q33+O33+L33+K33+H33+I33+N33</f>
        <v>6248.88</v>
      </c>
      <c r="V33" s="3">
        <f>(6700*2)-I33</f>
        <v>7614</v>
      </c>
      <c r="W33" s="30">
        <f t="shared" si="9"/>
        <v>13862.880000000001</v>
      </c>
      <c r="X33" s="77"/>
      <c r="Y33" s="77"/>
      <c r="Z33" s="97">
        <f t="shared" si="8"/>
        <v>166354.56</v>
      </c>
    </row>
    <row r="34" spans="1:26" s="5" customFormat="1" ht="16.5" customHeight="1" x14ac:dyDescent="0.2">
      <c r="A34" s="82">
        <v>19</v>
      </c>
      <c r="B34" s="2">
        <v>9132</v>
      </c>
      <c r="C34" s="10" t="s">
        <v>60</v>
      </c>
      <c r="D34" s="2">
        <v>1</v>
      </c>
      <c r="E34" s="2">
        <v>1</v>
      </c>
      <c r="F34" s="2">
        <v>2893</v>
      </c>
      <c r="G34" s="2"/>
      <c r="H34" s="3"/>
      <c r="I34" s="3">
        <f t="shared" si="7"/>
        <v>2893</v>
      </c>
      <c r="J34" s="6">
        <v>0.1</v>
      </c>
      <c r="K34" s="3">
        <f>I34*10%</f>
        <v>289.3</v>
      </c>
      <c r="L34" s="3"/>
      <c r="M34" s="6"/>
      <c r="N34" s="3"/>
      <c r="O34" s="3"/>
      <c r="P34" s="2"/>
      <c r="Q34" s="2"/>
      <c r="R34" s="3"/>
      <c r="S34" s="3"/>
      <c r="T34" s="3"/>
      <c r="U34" s="3">
        <f>T34+Q34+O34+L34+K34+H34+I34</f>
        <v>3182.3</v>
      </c>
      <c r="V34" s="3">
        <f>6700-I34</f>
        <v>3807</v>
      </c>
      <c r="W34" s="30">
        <f t="shared" si="9"/>
        <v>6989.3</v>
      </c>
      <c r="X34" s="77"/>
      <c r="Y34" s="77"/>
      <c r="Z34" s="97">
        <f t="shared" si="8"/>
        <v>83871.600000000006</v>
      </c>
    </row>
    <row r="35" spans="1:26" s="5" customFormat="1" ht="18" customHeight="1" x14ac:dyDescent="0.2">
      <c r="A35" s="82">
        <v>20</v>
      </c>
      <c r="B35" s="2">
        <v>7241</v>
      </c>
      <c r="C35" s="10" t="s">
        <v>70</v>
      </c>
      <c r="D35" s="2">
        <v>0.5</v>
      </c>
      <c r="E35" s="2">
        <v>2</v>
      </c>
      <c r="F35" s="2">
        <v>3153</v>
      </c>
      <c r="G35" s="2"/>
      <c r="H35" s="3"/>
      <c r="I35" s="3">
        <f t="shared" si="7"/>
        <v>1576.5</v>
      </c>
      <c r="J35" s="6"/>
      <c r="K35" s="3"/>
      <c r="L35" s="3"/>
      <c r="M35" s="6"/>
      <c r="N35" s="3"/>
      <c r="O35" s="3"/>
      <c r="P35" s="2"/>
      <c r="Q35" s="2"/>
      <c r="R35" s="3"/>
      <c r="S35" s="3"/>
      <c r="T35" s="3"/>
      <c r="U35" s="3">
        <f>T35+Q35+O35+L35+K35+H35+I35</f>
        <v>1576.5</v>
      </c>
      <c r="V35" s="3">
        <f>3350-I35</f>
        <v>1773.5</v>
      </c>
      <c r="W35" s="30">
        <f t="shared" si="9"/>
        <v>3350</v>
      </c>
      <c r="X35" s="77"/>
      <c r="Y35" s="77"/>
      <c r="Z35" s="97">
        <f t="shared" si="8"/>
        <v>40200</v>
      </c>
    </row>
    <row r="36" spans="1:26" s="5" customFormat="1" ht="33.75" customHeight="1" x14ac:dyDescent="0.2">
      <c r="A36" s="82">
        <v>21</v>
      </c>
      <c r="B36" s="2">
        <v>7129</v>
      </c>
      <c r="C36" s="10" t="s">
        <v>72</v>
      </c>
      <c r="D36" s="2">
        <v>1</v>
      </c>
      <c r="E36" s="2">
        <v>2</v>
      </c>
      <c r="F36" s="2">
        <v>3153</v>
      </c>
      <c r="G36" s="2"/>
      <c r="H36" s="3"/>
      <c r="I36" s="3">
        <f t="shared" si="7"/>
        <v>3153</v>
      </c>
      <c r="J36" s="6"/>
      <c r="K36" s="3"/>
      <c r="L36" s="3"/>
      <c r="M36" s="6"/>
      <c r="N36" s="3"/>
      <c r="O36" s="3"/>
      <c r="P36" s="6"/>
      <c r="Q36" s="3"/>
      <c r="R36" s="3"/>
      <c r="S36" s="3"/>
      <c r="T36" s="3"/>
      <c r="U36" s="3">
        <f>T36+Q36+O36+L36+K36+H36+I36</f>
        <v>3153</v>
      </c>
      <c r="V36" s="3">
        <f>6700-I36</f>
        <v>3547</v>
      </c>
      <c r="W36" s="30">
        <f>(U36+V36)</f>
        <v>6700</v>
      </c>
      <c r="X36" s="77"/>
      <c r="Y36" s="77"/>
      <c r="Z36" s="97">
        <f t="shared" si="8"/>
        <v>80400</v>
      </c>
    </row>
    <row r="37" spans="1:26" s="5" customFormat="1" ht="20.25" customHeight="1" x14ac:dyDescent="0.2">
      <c r="A37" s="82">
        <v>22</v>
      </c>
      <c r="B37" s="2">
        <v>8162</v>
      </c>
      <c r="C37" s="10" t="s">
        <v>69</v>
      </c>
      <c r="D37" s="2">
        <v>1</v>
      </c>
      <c r="E37" s="2">
        <v>2</v>
      </c>
      <c r="F37" s="2">
        <v>3153</v>
      </c>
      <c r="G37" s="2"/>
      <c r="H37" s="3"/>
      <c r="I37" s="3">
        <f t="shared" si="7"/>
        <v>3153</v>
      </c>
      <c r="J37" s="6">
        <v>0.08</v>
      </c>
      <c r="K37" s="3">
        <f>I37*8%</f>
        <v>252.24</v>
      </c>
      <c r="L37" s="3"/>
      <c r="M37" s="6"/>
      <c r="N37" s="3"/>
      <c r="O37" s="3"/>
      <c r="P37" s="6">
        <v>0.35</v>
      </c>
      <c r="Q37" s="3">
        <f>I37*35%</f>
        <v>1103.55</v>
      </c>
      <c r="R37" s="3"/>
      <c r="S37" s="3"/>
      <c r="T37" s="3"/>
      <c r="U37" s="3">
        <f>I37+Q37+N37+K37</f>
        <v>4508.79</v>
      </c>
      <c r="V37" s="3">
        <f>6700-I37</f>
        <v>3547</v>
      </c>
      <c r="W37" s="30">
        <f t="shared" si="9"/>
        <v>8055.79</v>
      </c>
      <c r="X37" s="77"/>
      <c r="Y37" s="77"/>
      <c r="Z37" s="97">
        <f t="shared" si="8"/>
        <v>96669.48</v>
      </c>
    </row>
    <row r="38" spans="1:26" s="5" customFormat="1" ht="31.5" customHeight="1" x14ac:dyDescent="0.2">
      <c r="A38" s="82">
        <v>23</v>
      </c>
      <c r="B38" s="2">
        <v>8162</v>
      </c>
      <c r="C38" s="10" t="s">
        <v>63</v>
      </c>
      <c r="D38" s="2">
        <v>3</v>
      </c>
      <c r="E38" s="2">
        <v>2</v>
      </c>
      <c r="F38" s="2">
        <v>3153</v>
      </c>
      <c r="G38" s="2"/>
      <c r="H38" s="3"/>
      <c r="I38" s="3">
        <f>F38*D38</f>
        <v>9459</v>
      </c>
      <c r="J38" s="6">
        <v>0.08</v>
      </c>
      <c r="K38" s="3">
        <f>I38*8%</f>
        <v>756.72</v>
      </c>
      <c r="L38" s="3"/>
      <c r="M38" s="6"/>
      <c r="N38" s="3"/>
      <c r="O38" s="3"/>
      <c r="P38" s="6">
        <v>0.35</v>
      </c>
      <c r="Q38" s="3">
        <f>I38*P38</f>
        <v>3310.6499999999996</v>
      </c>
      <c r="R38" s="3" t="s">
        <v>68</v>
      </c>
      <c r="S38" s="3"/>
      <c r="T38" s="3"/>
      <c r="U38" s="3">
        <f>Q38+I38+N38+K38</f>
        <v>13526.369999999999</v>
      </c>
      <c r="V38" s="3">
        <f>(6700*3)-I38</f>
        <v>10641</v>
      </c>
      <c r="W38" s="30">
        <f t="shared" si="9"/>
        <v>24167.37</v>
      </c>
      <c r="X38" s="77"/>
      <c r="Y38" s="77"/>
      <c r="Z38" s="97">
        <f>(W38+X38+Y38)*6</f>
        <v>145004.22</v>
      </c>
    </row>
    <row r="39" spans="1:26" s="5" customFormat="1" ht="22.5" customHeight="1" x14ac:dyDescent="0.2">
      <c r="A39" s="82">
        <v>24</v>
      </c>
      <c r="B39" s="2">
        <v>8264</v>
      </c>
      <c r="C39" s="10" t="s">
        <v>71</v>
      </c>
      <c r="D39" s="2">
        <v>1.75</v>
      </c>
      <c r="E39" s="2">
        <v>2</v>
      </c>
      <c r="F39" s="2">
        <v>3153</v>
      </c>
      <c r="G39" s="2"/>
      <c r="H39" s="3"/>
      <c r="I39" s="3">
        <f t="shared" si="7"/>
        <v>5517.75</v>
      </c>
      <c r="J39" s="6">
        <v>0.04</v>
      </c>
      <c r="K39" s="3">
        <f>I39*4%</f>
        <v>220.71</v>
      </c>
      <c r="L39" s="3"/>
      <c r="M39" s="6"/>
      <c r="N39" s="3"/>
      <c r="O39" s="3"/>
      <c r="P39" s="2"/>
      <c r="Q39" s="2"/>
      <c r="R39" s="3"/>
      <c r="S39" s="3"/>
      <c r="T39" s="3"/>
      <c r="U39" s="3">
        <f>T39+Q39+O39+L39+K39+H39+I39</f>
        <v>5738.46</v>
      </c>
      <c r="V39" s="3">
        <f>(6700*1.75) -I39</f>
        <v>6207.25</v>
      </c>
      <c r="W39" s="30">
        <f t="shared" si="9"/>
        <v>11945.71</v>
      </c>
      <c r="X39" s="77"/>
      <c r="Y39" s="77"/>
      <c r="Z39" s="97">
        <f>(W39+X39+Y39)*12</f>
        <v>143348.51999999999</v>
      </c>
    </row>
    <row r="40" spans="1:26" s="5" customFormat="1" ht="18" customHeight="1" x14ac:dyDescent="0.2">
      <c r="A40" s="82">
        <v>25</v>
      </c>
      <c r="B40" s="2">
        <v>5131</v>
      </c>
      <c r="C40" s="10" t="s">
        <v>64</v>
      </c>
      <c r="D40" s="2">
        <v>10.65</v>
      </c>
      <c r="E40" s="2">
        <v>5</v>
      </c>
      <c r="F40" s="2">
        <v>3934</v>
      </c>
      <c r="G40" s="2"/>
      <c r="H40" s="3"/>
      <c r="I40" s="3">
        <f t="shared" si="7"/>
        <v>41897.1</v>
      </c>
      <c r="J40" s="6">
        <v>0.1</v>
      </c>
      <c r="K40" s="3">
        <f>I40*10%</f>
        <v>4189.71</v>
      </c>
      <c r="L40" s="3"/>
      <c r="M40" s="6"/>
      <c r="N40" s="3"/>
      <c r="O40" s="3"/>
      <c r="P40" s="2"/>
      <c r="Q40" s="3"/>
      <c r="R40" s="3"/>
      <c r="S40" s="3"/>
      <c r="T40" s="3"/>
      <c r="U40" s="3">
        <f>T40+Q40+O40+L40+K40+H40+I40</f>
        <v>46086.81</v>
      </c>
      <c r="V40" s="3">
        <f>(6700*10.65)-I40</f>
        <v>29457.9</v>
      </c>
      <c r="W40" s="30">
        <f t="shared" si="9"/>
        <v>75544.709999999992</v>
      </c>
      <c r="X40" s="77"/>
      <c r="Y40" s="77"/>
      <c r="Z40" s="97">
        <f>(W40+X40+Y40)*12</f>
        <v>906536.5199999999</v>
      </c>
    </row>
    <row r="41" spans="1:26" s="5" customFormat="1" ht="14.25" customHeight="1" x14ac:dyDescent="0.2">
      <c r="A41" s="82">
        <v>26</v>
      </c>
      <c r="B41" s="2">
        <v>9152</v>
      </c>
      <c r="C41" s="10" t="s">
        <v>37</v>
      </c>
      <c r="D41" s="2">
        <v>2</v>
      </c>
      <c r="E41" s="2">
        <v>1</v>
      </c>
      <c r="F41" s="2">
        <v>2893</v>
      </c>
      <c r="G41" s="2"/>
      <c r="H41" s="3"/>
      <c r="I41" s="3">
        <f t="shared" si="7"/>
        <v>5786</v>
      </c>
      <c r="J41" s="6"/>
      <c r="K41" s="3"/>
      <c r="L41" s="3"/>
      <c r="M41" s="6"/>
      <c r="N41" s="3"/>
      <c r="O41" s="3"/>
      <c r="P41" s="6">
        <v>0.35</v>
      </c>
      <c r="Q41" s="3">
        <f>I41*35%</f>
        <v>2025.1</v>
      </c>
      <c r="R41" s="3"/>
      <c r="S41" s="3"/>
      <c r="T41" s="3"/>
      <c r="U41" s="3">
        <f>T41+Q41+O41+L41+K41+H41+I41</f>
        <v>7811.1</v>
      </c>
      <c r="V41" s="3">
        <f>(6700*2)-I41</f>
        <v>7614</v>
      </c>
      <c r="W41" s="30">
        <f t="shared" si="9"/>
        <v>15425.1</v>
      </c>
      <c r="X41" s="77"/>
      <c r="Y41" s="77"/>
      <c r="Z41" s="97">
        <f>(W41+X41+Y41)*12</f>
        <v>185101.2</v>
      </c>
    </row>
    <row r="42" spans="1:26" s="5" customFormat="1" ht="13.5" thickBot="1" x14ac:dyDescent="0.25">
      <c r="A42" s="84">
        <v>27</v>
      </c>
      <c r="B42" s="12">
        <v>9162</v>
      </c>
      <c r="C42" s="11" t="s">
        <v>38</v>
      </c>
      <c r="D42" s="12">
        <v>2</v>
      </c>
      <c r="E42" s="12">
        <v>1</v>
      </c>
      <c r="F42" s="12">
        <v>2893</v>
      </c>
      <c r="G42" s="12"/>
      <c r="H42" s="13"/>
      <c r="I42" s="13">
        <f t="shared" si="7"/>
        <v>5786</v>
      </c>
      <c r="J42" s="28"/>
      <c r="K42" s="13"/>
      <c r="L42" s="13"/>
      <c r="M42" s="28"/>
      <c r="N42" s="13"/>
      <c r="O42" s="13"/>
      <c r="P42" s="12"/>
      <c r="Q42" s="13"/>
      <c r="R42" s="13"/>
      <c r="S42" s="13"/>
      <c r="T42" s="13"/>
      <c r="U42" s="13">
        <f>T42+Q42+O42+L42+K42+H42+I42</f>
        <v>5786</v>
      </c>
      <c r="V42" s="13">
        <f>(6700*2)-I42</f>
        <v>7614</v>
      </c>
      <c r="W42" s="56">
        <f t="shared" si="9"/>
        <v>13400</v>
      </c>
      <c r="X42" s="95"/>
      <c r="Y42" s="95"/>
      <c r="Z42" s="97">
        <f>(W42+X42+Y42)*12</f>
        <v>160800</v>
      </c>
    </row>
    <row r="43" spans="1:26" s="5" customFormat="1" ht="15.75" customHeight="1" thickBot="1" x14ac:dyDescent="0.3">
      <c r="A43" s="55"/>
      <c r="B43" s="37"/>
      <c r="C43" s="38" t="s">
        <v>23</v>
      </c>
      <c r="D43" s="39">
        <f>SUM(D28:D42)</f>
        <v>30.4</v>
      </c>
      <c r="E43" s="75"/>
      <c r="F43" s="40"/>
      <c r="G43" s="40"/>
      <c r="H43" s="41"/>
      <c r="I43" s="39">
        <f>SUM(I28:I42)</f>
        <v>105474.35</v>
      </c>
      <c r="J43" s="42"/>
      <c r="K43" s="39">
        <f>SUM(K28:K42)</f>
        <v>7074.12</v>
      </c>
      <c r="L43" s="39"/>
      <c r="M43" s="39"/>
      <c r="N43" s="39">
        <f>SUM(N28:N42)</f>
        <v>2227.5</v>
      </c>
      <c r="O43" s="39">
        <f>SUM(O28:O42)</f>
        <v>367.40000000000003</v>
      </c>
      <c r="P43" s="42"/>
      <c r="Q43" s="39">
        <f>SUM(Q28:Q42)</f>
        <v>6439.2999999999993</v>
      </c>
      <c r="R43" s="42"/>
      <c r="S43" s="42"/>
      <c r="T43" s="42"/>
      <c r="U43" s="39">
        <f t="shared" ref="U43:Y43" si="10">SUM(U28:U42)</f>
        <v>121582.67000000001</v>
      </c>
      <c r="V43" s="39">
        <f t="shared" si="10"/>
        <v>95610.75</v>
      </c>
      <c r="W43" s="39">
        <f t="shared" si="10"/>
        <v>217193.41999999998</v>
      </c>
      <c r="X43" s="39">
        <f t="shared" si="10"/>
        <v>0</v>
      </c>
      <c r="Y43" s="39">
        <f t="shared" si="10"/>
        <v>0</v>
      </c>
      <c r="Z43" s="39">
        <f>SUM(Z28:Z42)</f>
        <v>2461316.8200000003</v>
      </c>
    </row>
    <row r="44" spans="1:26" s="5" customFormat="1" ht="15.75" customHeight="1" thickBot="1" x14ac:dyDescent="0.3">
      <c r="A44" s="91">
        <v>28</v>
      </c>
      <c r="B44" s="86"/>
      <c r="C44" s="99" t="s">
        <v>87</v>
      </c>
      <c r="D44" s="88"/>
      <c r="E44" s="92"/>
      <c r="F44" s="93"/>
      <c r="G44" s="93"/>
      <c r="H44" s="94"/>
      <c r="I44" s="88"/>
      <c r="J44" s="90"/>
      <c r="K44" s="88"/>
      <c r="L44" s="88"/>
      <c r="M44" s="88"/>
      <c r="N44" s="88"/>
      <c r="O44" s="88"/>
      <c r="P44" s="90"/>
      <c r="Q44" s="88"/>
      <c r="R44" s="90"/>
      <c r="S44" s="90"/>
      <c r="T44" s="90"/>
      <c r="U44" s="88"/>
      <c r="V44" s="88"/>
      <c r="W44" s="88"/>
      <c r="X44" s="98"/>
      <c r="Y44" s="98"/>
      <c r="Z44" s="100">
        <v>35000</v>
      </c>
    </row>
    <row r="45" spans="1:26" s="5" customFormat="1" ht="15.75" customHeight="1" thickBot="1" x14ac:dyDescent="0.3">
      <c r="A45" s="91">
        <v>29</v>
      </c>
      <c r="B45" s="86"/>
      <c r="C45" s="99" t="s">
        <v>88</v>
      </c>
      <c r="D45" s="88"/>
      <c r="E45" s="92"/>
      <c r="F45" s="93"/>
      <c r="G45" s="93"/>
      <c r="H45" s="94"/>
      <c r="I45" s="88"/>
      <c r="J45" s="90"/>
      <c r="K45" s="88"/>
      <c r="L45" s="88"/>
      <c r="M45" s="88"/>
      <c r="N45" s="88"/>
      <c r="O45" s="88"/>
      <c r="P45" s="90"/>
      <c r="Q45" s="88"/>
      <c r="R45" s="90"/>
      <c r="S45" s="90"/>
      <c r="T45" s="90"/>
      <c r="U45" s="88"/>
      <c r="V45" s="88"/>
      <c r="W45" s="88"/>
      <c r="X45" s="98"/>
      <c r="Y45" s="98"/>
      <c r="Z45" s="100">
        <v>95000</v>
      </c>
    </row>
    <row r="46" spans="1:26" s="5" customFormat="1" ht="15.75" customHeight="1" thickBot="1" x14ac:dyDescent="0.3">
      <c r="A46" s="91">
        <v>30</v>
      </c>
      <c r="B46" s="86"/>
      <c r="C46" s="99" t="s">
        <v>89</v>
      </c>
      <c r="D46" s="88"/>
      <c r="E46" s="92"/>
      <c r="F46" s="93"/>
      <c r="G46" s="93"/>
      <c r="H46" s="94"/>
      <c r="I46" s="88"/>
      <c r="J46" s="90"/>
      <c r="K46" s="88"/>
      <c r="L46" s="88"/>
      <c r="M46" s="88"/>
      <c r="N46" s="88"/>
      <c r="O46" s="88"/>
      <c r="P46" s="90"/>
      <c r="Q46" s="88"/>
      <c r="R46" s="90"/>
      <c r="S46" s="90"/>
      <c r="T46" s="90"/>
      <c r="U46" s="88"/>
      <c r="V46" s="88"/>
      <c r="W46" s="88"/>
      <c r="X46" s="98"/>
      <c r="Y46" s="98"/>
      <c r="Z46" s="100">
        <f>40319.72+64152</f>
        <v>104471.72</v>
      </c>
    </row>
    <row r="47" spans="1:26" s="5" customFormat="1" ht="15.75" customHeight="1" thickBot="1" x14ac:dyDescent="0.3">
      <c r="A47" s="91">
        <v>31</v>
      </c>
      <c r="B47" s="86"/>
      <c r="C47" s="99" t="s">
        <v>90</v>
      </c>
      <c r="D47" s="88"/>
      <c r="E47" s="92"/>
      <c r="F47" s="93"/>
      <c r="G47" s="93"/>
      <c r="H47" s="94"/>
      <c r="I47" s="88"/>
      <c r="J47" s="90"/>
      <c r="K47" s="88"/>
      <c r="L47" s="88"/>
      <c r="M47" s="88"/>
      <c r="N47" s="88"/>
      <c r="O47" s="88"/>
      <c r="P47" s="90"/>
      <c r="Q47" s="88"/>
      <c r="R47" s="90"/>
      <c r="S47" s="90"/>
      <c r="T47" s="90"/>
      <c r="U47" s="88"/>
      <c r="V47" s="88"/>
      <c r="W47" s="88"/>
      <c r="X47" s="98"/>
      <c r="Y47" s="98"/>
      <c r="Z47" s="100">
        <f>869000</f>
        <v>869000</v>
      </c>
    </row>
    <row r="48" spans="1:26" s="5" customFormat="1" ht="38.25" customHeight="1" thickBot="1" x14ac:dyDescent="0.3">
      <c r="A48" s="85"/>
      <c r="B48" s="86"/>
      <c r="C48" s="87" t="s">
        <v>24</v>
      </c>
      <c r="D48" s="88">
        <f>D27+D43</f>
        <v>55.599999999999994</v>
      </c>
      <c r="E48" s="89"/>
      <c r="F48" s="90"/>
      <c r="G48" s="88">
        <f>G27+G43</f>
        <v>4406.59</v>
      </c>
      <c r="H48" s="88">
        <f>H27+H43</f>
        <v>484.26</v>
      </c>
      <c r="I48" s="88">
        <f>I27+I43</f>
        <v>274379.11499999999</v>
      </c>
      <c r="J48" s="90"/>
      <c r="K48" s="88">
        <f>K43+K27</f>
        <v>8549.619999999999</v>
      </c>
      <c r="L48" s="88">
        <f>L27+L43</f>
        <v>48458.182500000003</v>
      </c>
      <c r="M48" s="88"/>
      <c r="N48" s="88">
        <f>N27+N43</f>
        <v>85942.137499999997</v>
      </c>
      <c r="O48" s="88">
        <f>O27+O43</f>
        <v>367.40000000000003</v>
      </c>
      <c r="P48" s="90"/>
      <c r="Q48" s="88">
        <f>Q43+Q27</f>
        <v>6439.2999999999993</v>
      </c>
      <c r="R48" s="90"/>
      <c r="S48" s="88">
        <f>S27+S43</f>
        <v>33761.835750000006</v>
      </c>
      <c r="T48" s="90"/>
      <c r="U48" s="88">
        <f>U43+U27</f>
        <v>457897.60074999998</v>
      </c>
      <c r="V48" s="88">
        <f>V43+V27</f>
        <v>95610.75</v>
      </c>
      <c r="W48" s="88">
        <f>W43+W27</f>
        <v>553508.35074999998</v>
      </c>
      <c r="X48" s="88">
        <f>X43+X27</f>
        <v>13460.606249999999</v>
      </c>
      <c r="Y48" s="88">
        <f>Y43+Y27</f>
        <v>14075.397916666667</v>
      </c>
      <c r="Z48" s="100">
        <f>Z27+Z43+Z44+Z45+Z46+Z47</f>
        <v>7930999.9990000008</v>
      </c>
    </row>
    <row r="49" spans="1:23" s="5" customFormat="1" ht="15.75" x14ac:dyDescent="0.25">
      <c r="A49" s="50"/>
      <c r="B49" s="50"/>
      <c r="C49" s="14"/>
      <c r="D49" s="15"/>
      <c r="E49" s="76"/>
      <c r="F49" s="16"/>
      <c r="G49" s="15"/>
      <c r="H49" s="15"/>
      <c r="I49" s="15"/>
      <c r="J49" s="16"/>
      <c r="K49" s="15"/>
      <c r="L49" s="15"/>
      <c r="M49" s="15"/>
      <c r="N49" s="15"/>
      <c r="O49" s="17"/>
      <c r="P49" s="16"/>
      <c r="Q49" s="15"/>
      <c r="R49" s="16"/>
      <c r="S49" s="15"/>
      <c r="T49" s="16"/>
      <c r="U49" s="15"/>
      <c r="V49" s="15"/>
      <c r="W49" s="15"/>
    </row>
    <row r="50" spans="1:23" s="5" customFormat="1" ht="15.75" x14ac:dyDescent="0.25">
      <c r="A50" s="50"/>
      <c r="B50" s="50"/>
      <c r="C50" s="14"/>
      <c r="D50" s="15"/>
      <c r="E50" s="76"/>
      <c r="F50" s="16"/>
      <c r="G50" s="15"/>
      <c r="H50" s="15"/>
      <c r="I50" s="15"/>
      <c r="J50" s="16"/>
      <c r="K50" s="15"/>
      <c r="L50" s="15"/>
      <c r="M50" s="15"/>
      <c r="N50" s="15"/>
      <c r="O50" s="17"/>
      <c r="P50" s="16"/>
      <c r="Q50" s="15"/>
      <c r="R50" s="16"/>
      <c r="S50" s="15"/>
      <c r="T50" s="16"/>
      <c r="U50" s="15"/>
      <c r="V50" s="15"/>
      <c r="W50" s="15"/>
    </row>
    <row r="51" spans="1:23" s="5" customFormat="1" ht="15.75" x14ac:dyDescent="0.25">
      <c r="A51" s="50"/>
      <c r="B51" s="50"/>
      <c r="C51" s="14"/>
      <c r="D51" s="15"/>
      <c r="E51" s="76"/>
      <c r="F51" s="16"/>
      <c r="G51" s="15"/>
      <c r="H51" s="15"/>
      <c r="I51" s="15"/>
      <c r="J51" s="16"/>
      <c r="K51" s="15"/>
      <c r="L51" s="15"/>
      <c r="M51" s="15"/>
      <c r="N51" s="15"/>
      <c r="O51" s="17"/>
      <c r="P51" s="16"/>
      <c r="Q51" s="15"/>
      <c r="R51" s="16"/>
      <c r="S51" s="15"/>
      <c r="T51" s="16"/>
      <c r="U51" s="15"/>
      <c r="V51" s="15"/>
      <c r="W51" s="15"/>
    </row>
    <row r="52" spans="1:23" s="5" customFormat="1" x14ac:dyDescent="0.2">
      <c r="L52" s="18"/>
      <c r="M52" s="18"/>
      <c r="N52" s="18"/>
    </row>
    <row r="53" spans="1:23" s="5" customFormat="1" x14ac:dyDescent="0.2">
      <c r="A53" s="49"/>
      <c r="B53" s="49" t="s">
        <v>51</v>
      </c>
      <c r="C53" s="49"/>
      <c r="D53" s="49"/>
      <c r="E53" s="49" t="s">
        <v>79</v>
      </c>
      <c r="F53" s="49"/>
      <c r="G53" s="49"/>
      <c r="O53" s="18"/>
      <c r="U53" s="19"/>
      <c r="V53" s="19"/>
      <c r="W53" s="19"/>
    </row>
    <row r="54" spans="1:23" s="5" customFormat="1" x14ac:dyDescent="0.2">
      <c r="A54" s="49"/>
      <c r="B54" s="49"/>
      <c r="C54" s="49"/>
      <c r="D54" s="49"/>
      <c r="E54" s="49"/>
      <c r="F54" s="49"/>
      <c r="G54" s="49"/>
    </row>
    <row r="55" spans="1:23" s="5" customFormat="1" x14ac:dyDescent="0.2">
      <c r="A55" s="49"/>
      <c r="B55" s="49" t="s">
        <v>78</v>
      </c>
      <c r="C55" s="49"/>
      <c r="D55" s="49"/>
      <c r="E55" s="49" t="s">
        <v>80</v>
      </c>
      <c r="F55" s="49"/>
      <c r="G55" s="49"/>
    </row>
    <row r="56" spans="1:23" s="5" customFormat="1" x14ac:dyDescent="0.2">
      <c r="A56" s="49"/>
      <c r="B56" s="49"/>
      <c r="C56" s="49"/>
      <c r="D56" s="49"/>
      <c r="E56" s="49"/>
      <c r="F56" s="49"/>
      <c r="G56" s="49"/>
    </row>
    <row r="57" spans="1:23" s="5" customFormat="1" x14ac:dyDescent="0.2">
      <c r="A57" s="49"/>
      <c r="B57" s="49" t="s">
        <v>74</v>
      </c>
      <c r="C57" s="49"/>
      <c r="D57" s="49"/>
      <c r="E57" s="49" t="s">
        <v>81</v>
      </c>
      <c r="F57" s="49"/>
      <c r="G57" s="49"/>
    </row>
    <row r="58" spans="1:23" s="5" customFormat="1" x14ac:dyDescent="0.2"/>
    <row r="65" spans="27:28" s="5" customFormat="1" x14ac:dyDescent="0.2">
      <c r="AA65"/>
      <c r="AB65"/>
    </row>
    <row r="66" spans="27:28" s="5" customFormat="1" x14ac:dyDescent="0.2">
      <c r="AA66"/>
      <c r="AB66"/>
    </row>
    <row r="67" spans="27:28" s="5" customFormat="1" x14ac:dyDescent="0.2">
      <c r="AA67"/>
      <c r="AB67"/>
    </row>
    <row r="68" spans="27:28" s="5" customFormat="1" x14ac:dyDescent="0.2">
      <c r="AA68"/>
      <c r="AB68"/>
    </row>
    <row r="69" spans="27:28" s="5" customFormat="1" x14ac:dyDescent="0.2">
      <c r="AA69"/>
      <c r="AB69"/>
    </row>
  </sheetData>
  <mergeCells count="28">
    <mergeCell ref="X12:X14"/>
    <mergeCell ref="Y12:Y14"/>
    <mergeCell ref="Z12:Z14"/>
    <mergeCell ref="P2:R2"/>
    <mergeCell ref="S10:U10"/>
    <mergeCell ref="V10:W10"/>
    <mergeCell ref="W12:W14"/>
    <mergeCell ref="W11:Z11"/>
    <mergeCell ref="C12:C14"/>
    <mergeCell ref="D12:D14"/>
    <mergeCell ref="E12:E14"/>
    <mergeCell ref="F12:F14"/>
    <mergeCell ref="G12:G14"/>
    <mergeCell ref="H12:H14"/>
    <mergeCell ref="I12:I14"/>
    <mergeCell ref="T12:T14"/>
    <mergeCell ref="U12:U14"/>
    <mergeCell ref="V12:V14"/>
    <mergeCell ref="J13:J14"/>
    <mergeCell ref="K13:K14"/>
    <mergeCell ref="R13:S13"/>
    <mergeCell ref="J12:L12"/>
    <mergeCell ref="O12:S12"/>
    <mergeCell ref="L13:L14"/>
    <mergeCell ref="M13:M14"/>
    <mergeCell ref="N13:N14"/>
    <mergeCell ref="O13:O14"/>
    <mergeCell ref="P13:Q13"/>
  </mergeCells>
  <pageMargins left="0.31496062992125984" right="0.23622047244094491" top="0.59055118110236227" bottom="0.51181102362204722" header="0.39370078740157483" footer="0.31496062992125984"/>
  <pageSetup paperSize="9" scale="4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3" sqref="H33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(січень)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podolinna</cp:lastModifiedBy>
  <cp:lastPrinted>2022-12-27T09:03:11Z</cp:lastPrinted>
  <dcterms:created xsi:type="dcterms:W3CDTF">2010-02-24T10:05:49Z</dcterms:created>
  <dcterms:modified xsi:type="dcterms:W3CDTF">2022-12-28T12:15:24Z</dcterms:modified>
</cp:coreProperties>
</file>